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ebeccad.morton\Desktop\"/>
    </mc:Choice>
  </mc:AlternateContent>
  <xr:revisionPtr revIDLastSave="0" documentId="13_ncr:1_{5F303801-1D79-4E0C-BA85-8D6F0D3E1C06}" xr6:coauthVersionLast="47" xr6:coauthVersionMax="47" xr10:uidLastSave="{00000000-0000-0000-0000-000000000000}"/>
  <bookViews>
    <workbookView xWindow="-120" yWindow="-120" windowWidth="29040" windowHeight="15720" activeTab="2" xr2:uid="{00000000-000D-0000-FFFF-FFFF00000000}"/>
  </bookViews>
  <sheets>
    <sheet name="DATA" sheetId="13" r:id="rId1"/>
    <sheet name="DATA2" sheetId="22" r:id="rId2"/>
    <sheet name="Letter" sheetId="21" r:id="rId3"/>
    <sheet name="REAL" sheetId="19" r:id="rId4"/>
    <sheet name="Per-Manual" sheetId="15" r:id="rId5"/>
    <sheet name="PP Sub" sheetId="20" r:id="rId6"/>
    <sheet name="PP Compensating" sheetId="16" r:id="rId7"/>
    <sheet name="PP 4%" sheetId="17" r:id="rId8"/>
  </sheets>
  <externalReferences>
    <externalReference r:id="rId9"/>
    <externalReference r:id="rId10"/>
  </externalReferences>
  <definedNames>
    <definedName name="_MailAutoSig" localSheetId="2">Letter!$A$26</definedName>
    <definedName name="AdoptedRates" localSheetId="2">#REF!</definedName>
    <definedName name="AdoptedRates">#REF!</definedName>
    <definedName name="COMPRATE">[1]Taxo97w!$C$72</definedName>
    <definedName name="District">[2]Taxo97w!$C$2</definedName>
    <definedName name="FOURPERCENT">[1]Taxo97w!$C$76</definedName>
    <definedName name="_xlnm.Print_Area" localSheetId="4">'Per-Manual'!$A$1:$F$62</definedName>
    <definedName name="_xlnm.Print_Area" localSheetId="7">'PP 4%'!$A$1:$G$62</definedName>
    <definedName name="_xlnm.Print_Area" localSheetId="6">'PP Compensating'!$A$1:$G$63</definedName>
    <definedName name="_xlnm.Print_Area" localSheetId="5">'PP Sub'!$A$1:$G$62</definedName>
    <definedName name="_xlnm.Print_Area" localSheetId="3">REAL!$A$1:$H$56</definedName>
    <definedName name="_xlnm.Print_Titles" localSheetId="7">'PP 4%'!$1:$8</definedName>
    <definedName name="_xlnm.Print_Titles" localSheetId="6">'PP Compensating'!$1:$7</definedName>
    <definedName name="_xlnm.Print_Titles" localSheetId="5">'PP Sub'!$1:$8</definedName>
    <definedName name="SIX">[1]Taxo97w!$C$49</definedName>
    <definedName name="taxyear">[2]Review!$G$8</definedName>
    <definedName name="taxyearminusone">[2]Review!$A$8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13" l="1"/>
  <c r="D54" i="19" l="1"/>
  <c r="F10" i="19"/>
  <c r="F9" i="19"/>
  <c r="D1" i="22" l="1"/>
  <c r="D7" i="22"/>
  <c r="D5" i="22"/>
  <c r="D3" i="22"/>
  <c r="F13" i="22"/>
  <c r="F12" i="22"/>
  <c r="F9" i="22"/>
  <c r="A3" i="21"/>
  <c r="H1" i="22"/>
  <c r="F37" i="15"/>
  <c r="F61" i="15"/>
  <c r="F58" i="15"/>
  <c r="A50" i="15"/>
  <c r="F34" i="15"/>
  <c r="F23" i="15"/>
  <c r="F20" i="15"/>
  <c r="B15" i="15"/>
  <c r="B14" i="15"/>
  <c r="B13" i="15"/>
  <c r="B12" i="15"/>
  <c r="B11" i="15"/>
  <c r="B10" i="15"/>
  <c r="B9" i="15"/>
  <c r="D38" i="19"/>
  <c r="F33" i="19"/>
  <c r="F22" i="19"/>
  <c r="B19" i="19"/>
  <c r="B42" i="19" l="1"/>
  <c r="B27" i="19"/>
  <c r="F36" i="19"/>
  <c r="F30" i="19"/>
  <c r="B17" i="19"/>
  <c r="B16" i="19"/>
  <c r="B15" i="19"/>
  <c r="B14" i="19"/>
  <c r="B13" i="19"/>
  <c r="B12" i="19"/>
  <c r="B11" i="19"/>
  <c r="B10" i="19"/>
  <c r="B9" i="19"/>
  <c r="A8" i="21"/>
  <c r="A6" i="21"/>
  <c r="A63" i="13"/>
  <c r="A62" i="13"/>
  <c r="H29" i="13"/>
  <c r="D29" i="13"/>
  <c r="A26" i="13"/>
  <c r="A24" i="13"/>
  <c r="D20" i="13"/>
  <c r="A20" i="13"/>
  <c r="A17" i="13"/>
  <c r="D18" i="13"/>
  <c r="F61" i="17" l="1"/>
  <c r="F58" i="17"/>
  <c r="A50" i="17"/>
  <c r="F37" i="17"/>
  <c r="F34" i="17"/>
  <c r="F23" i="17"/>
  <c r="F20" i="17"/>
  <c r="B15" i="17"/>
  <c r="B14" i="17"/>
  <c r="B13" i="17"/>
  <c r="B12" i="17"/>
  <c r="B11" i="17"/>
  <c r="B10" i="17"/>
  <c r="B9" i="17"/>
  <c r="F61" i="16"/>
  <c r="F58" i="16"/>
  <c r="A50" i="16"/>
  <c r="F37" i="16"/>
  <c r="F34" i="16"/>
  <c r="F23" i="16"/>
  <c r="F20" i="16"/>
  <c r="B15" i="16"/>
  <c r="B14" i="16"/>
  <c r="B13" i="16"/>
  <c r="B12" i="16"/>
  <c r="B11" i="16"/>
  <c r="B10" i="16"/>
  <c r="B9" i="16"/>
  <c r="F61" i="20"/>
  <c r="F58" i="20"/>
  <c r="A50" i="20"/>
  <c r="F37" i="20"/>
  <c r="F34" i="20"/>
  <c r="F23" i="20"/>
  <c r="F20" i="20"/>
  <c r="B15" i="20"/>
  <c r="B14" i="20"/>
  <c r="B13" i="20"/>
  <c r="B12" i="20"/>
  <c r="B11" i="20"/>
  <c r="B10" i="20"/>
  <c r="B9" i="20"/>
  <c r="A12" i="21" l="1"/>
  <c r="A5" i="21"/>
  <c r="A4" i="21"/>
  <c r="A7" i="19" l="1"/>
  <c r="A6" i="19"/>
  <c r="A5" i="19"/>
  <c r="F41" i="13" l="1"/>
  <c r="F35" i="13"/>
  <c r="H52" i="13" s="1"/>
  <c r="F33" i="13"/>
  <c r="F31" i="13"/>
  <c r="E15" i="19" l="1"/>
  <c r="F15" i="19" s="1"/>
  <c r="A7" i="20"/>
  <c r="A6" i="20"/>
  <c r="A5" i="20"/>
  <c r="A7" i="17"/>
  <c r="A6" i="17"/>
  <c r="A5" i="17"/>
  <c r="A7" i="16"/>
  <c r="A6" i="16"/>
  <c r="A5" i="16"/>
  <c r="A7" i="15"/>
  <c r="A6" i="15"/>
  <c r="A5" i="15"/>
  <c r="F9" i="20"/>
  <c r="D22" i="20" s="1"/>
  <c r="F10" i="20"/>
  <c r="D36" i="20" s="1"/>
  <c r="F11" i="19"/>
  <c r="F12" i="19"/>
  <c r="B21" i="19" s="1"/>
  <c r="F13" i="19"/>
  <c r="B29" i="19" s="1"/>
  <c r="F14" i="19"/>
  <c r="F16" i="19"/>
  <c r="B35" i="19" s="1"/>
  <c r="F17" i="19"/>
  <c r="F15" i="17" s="1"/>
  <c r="D21" i="19"/>
  <c r="D32" i="19"/>
  <c r="D34" i="19"/>
  <c r="D35" i="19"/>
  <c r="B54" i="19"/>
  <c r="F54" i="19" s="1"/>
  <c r="F9" i="17"/>
  <c r="D22" i="17" s="1"/>
  <c r="F10" i="17"/>
  <c r="D36" i="17" s="1"/>
  <c r="F9" i="16"/>
  <c r="D22" i="16" s="1"/>
  <c r="F10" i="16"/>
  <c r="D36" i="16" s="1"/>
  <c r="F9" i="15"/>
  <c r="D22" i="15" s="1"/>
  <c r="F10" i="15"/>
  <c r="D36" i="15" s="1"/>
  <c r="F13" i="15" l="1"/>
  <c r="B19" i="15" s="1"/>
  <c r="B46" i="19"/>
  <c r="D24" i="19"/>
  <c r="F21" i="19"/>
  <c r="B24" i="19" s="1"/>
  <c r="D41" i="19"/>
  <c r="F35" i="19"/>
  <c r="F12" i="15"/>
  <c r="B22" i="15" s="1"/>
  <c r="F22" i="15" s="1"/>
  <c r="D28" i="15" s="1"/>
  <c r="F12" i="16"/>
  <c r="B22" i="16" s="1"/>
  <c r="F22" i="16" s="1"/>
  <c r="F12" i="17"/>
  <c r="B22" i="17" s="1"/>
  <c r="F22" i="17" s="1"/>
  <c r="D25" i="17" s="1"/>
  <c r="F14" i="15"/>
  <c r="B36" i="15" s="1"/>
  <c r="F36" i="15" s="1"/>
  <c r="F14" i="17"/>
  <c r="B36" i="17" s="1"/>
  <c r="F36" i="17" s="1"/>
  <c r="D42" i="17" s="1"/>
  <c r="B57" i="17" s="1"/>
  <c r="F12" i="20"/>
  <c r="B22" i="20" s="1"/>
  <c r="F22" i="20" s="1"/>
  <c r="D25" i="20" s="1"/>
  <c r="F15" i="16"/>
  <c r="B33" i="16" s="1"/>
  <c r="F14" i="20"/>
  <c r="B36" i="20" s="1"/>
  <c r="F36" i="20" s="1"/>
  <c r="D42" i="20" s="1"/>
  <c r="B57" i="20" s="1"/>
  <c r="F15" i="15"/>
  <c r="B33" i="15" s="1"/>
  <c r="F14" i="16"/>
  <c r="B36" i="16" s="1"/>
  <c r="F36" i="16" s="1"/>
  <c r="D42" i="16" s="1"/>
  <c r="B57" i="16" s="1"/>
  <c r="B32" i="19"/>
  <c r="F32" i="19" s="1"/>
  <c r="F13" i="20"/>
  <c r="B19" i="20" s="1"/>
  <c r="F15" i="20"/>
  <c r="B33" i="17"/>
  <c r="D60" i="17"/>
  <c r="F13" i="17"/>
  <c r="B19" i="17" s="1"/>
  <c r="F13" i="16"/>
  <c r="B19" i="16" s="1"/>
  <c r="F26" i="19" l="1"/>
  <c r="F24" i="19" s="1"/>
  <c r="F38" i="19"/>
  <c r="B41" i="19" s="1"/>
  <c r="F43" i="19" s="1"/>
  <c r="F41" i="19" s="1"/>
  <c r="D28" i="20"/>
  <c r="D25" i="15"/>
  <c r="D39" i="20"/>
  <c r="D60" i="16"/>
  <c r="D42" i="15"/>
  <c r="B57" i="15" s="1"/>
  <c r="D39" i="15"/>
  <c r="D28" i="17"/>
  <c r="D39" i="16"/>
  <c r="D60" i="20"/>
  <c r="B33" i="20"/>
  <c r="D60" i="15"/>
  <c r="D39" i="17"/>
  <c r="D49" i="19"/>
  <c r="D28" i="16"/>
  <c r="D25" i="16"/>
  <c r="F11" i="16" l="1"/>
  <c r="D19" i="16" s="1"/>
  <c r="F19" i="16" s="1"/>
  <c r="B25" i="16" s="1"/>
  <c r="F25" i="16" s="1"/>
  <c r="B28" i="16" s="1"/>
  <c r="F28" i="16" s="1"/>
  <c r="F48" i="16" s="1"/>
  <c r="D57" i="16" s="1"/>
  <c r="F57" i="16" s="1"/>
  <c r="B60" i="16" s="1"/>
  <c r="F60" i="16" s="1"/>
  <c r="D29" i="19"/>
  <c r="F29" i="19" s="1"/>
  <c r="D19" i="15"/>
  <c r="F19" i="15" s="1"/>
  <c r="B25" i="15" s="1"/>
  <c r="F25" i="15" s="1"/>
  <c r="B28" i="15" s="1"/>
  <c r="F28" i="15" s="1"/>
  <c r="F54" i="15" s="1"/>
  <c r="D46" i="19"/>
  <c r="F46" i="19" s="1"/>
  <c r="F51" i="19" s="1"/>
  <c r="F49" i="19" s="1"/>
  <c r="C15" i="21" s="1"/>
  <c r="C16" i="21" s="1"/>
  <c r="F11" i="20"/>
  <c r="D19" i="20" s="1"/>
  <c r="F19" i="20" s="1"/>
  <c r="B25" i="20" s="1"/>
  <c r="F25" i="20" s="1"/>
  <c r="B28" i="20" s="1"/>
  <c r="F28" i="20" s="1"/>
  <c r="D33" i="16" l="1"/>
  <c r="F33" i="16" s="1"/>
  <c r="B39" i="16" s="1"/>
  <c r="F39" i="16" s="1"/>
  <c r="B42" i="16" s="1"/>
  <c r="F42" i="16" s="1"/>
  <c r="B54" i="16" s="1"/>
  <c r="F11" i="17"/>
  <c r="D19" i="17" s="1"/>
  <c r="F19" i="17" s="1"/>
  <c r="B25" i="17" s="1"/>
  <c r="F25" i="17" s="1"/>
  <c r="B28" i="17" s="1"/>
  <c r="F28" i="17" s="1"/>
  <c r="F50" i="16"/>
  <c r="D37" i="19"/>
  <c r="B15" i="21" s="1"/>
  <c r="B16" i="21" s="1"/>
  <c r="B49" i="19"/>
  <c r="D33" i="15"/>
  <c r="F33" i="15" s="1"/>
  <c r="B39" i="15" s="1"/>
  <c r="F39" i="15" s="1"/>
  <c r="B42" i="15" s="1"/>
  <c r="F42" i="15" s="1"/>
  <c r="B48" i="15" s="1"/>
  <c r="F50" i="15"/>
  <c r="F48" i="15"/>
  <c r="D57" i="15" s="1"/>
  <c r="F57" i="15" s="1"/>
  <c r="B60" i="15" s="1"/>
  <c r="F60" i="15" s="1"/>
  <c r="F50" i="20"/>
  <c r="D33" i="20"/>
  <c r="F33" i="20" s="1"/>
  <c r="B39" i="20" s="1"/>
  <c r="F39" i="20" s="1"/>
  <c r="B42" i="20" s="1"/>
  <c r="F42" i="20" s="1"/>
  <c r="B48" i="20" s="1"/>
  <c r="F54" i="16"/>
  <c r="F48" i="20"/>
  <c r="D57" i="20" s="1"/>
  <c r="F57" i="20" s="1"/>
  <c r="B60" i="20" s="1"/>
  <c r="F60" i="20" s="1"/>
  <c r="F54" i="20"/>
  <c r="D33" i="17" l="1"/>
  <c r="F33" i="17" s="1"/>
  <c r="B39" i="17" s="1"/>
  <c r="F39" i="17" s="1"/>
  <c r="B42" i="17" s="1"/>
  <c r="F42" i="17" s="1"/>
  <c r="B54" i="17" s="1"/>
  <c r="F50" i="17"/>
  <c r="B48" i="16"/>
  <c r="B54" i="15"/>
  <c r="B54" i="20"/>
  <c r="F48" i="17"/>
  <c r="D57" i="17" s="1"/>
  <c r="F57" i="17" s="1"/>
  <c r="B60" i="17" s="1"/>
  <c r="F60" i="17" s="1"/>
  <c r="F54" i="17"/>
  <c r="B48" i="17" l="1"/>
</calcChain>
</file>

<file path=xl/sharedStrings.xml><?xml version="1.0" encoding="utf-8"?>
<sst xmlns="http://schemas.openxmlformats.org/spreadsheetml/2006/main" count="382" uniqueCount="125">
  <si>
    <t>Motor Vehicle</t>
  </si>
  <si>
    <t>(County)</t>
  </si>
  <si>
    <t>SPGE EID</t>
  </si>
  <si>
    <t>SPGE Name</t>
  </si>
  <si>
    <t>District Motor Rate</t>
  </si>
  <si>
    <t>Tangible Rates</t>
  </si>
  <si>
    <t>Real Rate</t>
  </si>
  <si>
    <t>PP Rate</t>
  </si>
  <si>
    <t>Net Change</t>
  </si>
  <si>
    <t>C. Adjusted Base</t>
  </si>
  <si>
    <t>Subject to</t>
  </si>
  <si>
    <t>Net Growth</t>
  </si>
  <si>
    <t xml:space="preserve">Subject to </t>
  </si>
  <si>
    <t>F. Real Estate</t>
  </si>
  <si>
    <t>G. Tangible</t>
  </si>
  <si>
    <t>H. P.S. Co-Real Estate</t>
  </si>
  <si>
    <t xml:space="preserve">    P.S. Co-Tang </t>
  </si>
  <si>
    <t>I. P.S. Co. Tang Eff</t>
  </si>
  <si>
    <t xml:space="preserve">   P.S. Co. Tang 100%</t>
  </si>
  <si>
    <t>J. Distilled</t>
  </si>
  <si>
    <t>K. Elect. Plant Bd.</t>
  </si>
  <si>
    <t>L. Insurance Shares</t>
  </si>
  <si>
    <t>M. Mo Vehicles</t>
  </si>
  <si>
    <t>N. Watercraft</t>
  </si>
  <si>
    <t xml:space="preserve">Net new property - PVA </t>
  </si>
  <si>
    <t>P.S. Co. Real</t>
  </si>
  <si>
    <t>Unmined Coal</t>
  </si>
  <si>
    <t>Tobacco Storage</t>
  </si>
  <si>
    <t>Other Agri.</t>
  </si>
  <si>
    <t>Aircraft</t>
  </si>
  <si>
    <t>Watercraft</t>
  </si>
  <si>
    <t>Invent. In trans</t>
  </si>
  <si>
    <t>Certification Date:</t>
  </si>
  <si>
    <t xml:space="preserve">  </t>
  </si>
  <si>
    <t xml:space="preserve"> </t>
  </si>
  <si>
    <t>- The date the Department of Revenue Certified</t>
  </si>
  <si>
    <t xml:space="preserve">  Real Property</t>
  </si>
  <si>
    <t xml:space="preserve"> Rate:</t>
  </si>
  <si>
    <t xml:space="preserve"> Revenue:</t>
  </si>
  <si>
    <t xml:space="preserve">For questions or comments, please contact our office below.  </t>
  </si>
  <si>
    <t>Regards,</t>
  </si>
  <si>
    <t>Cities and Special Districts Branch</t>
  </si>
  <si>
    <t>Department for Local Government</t>
  </si>
  <si>
    <r>
      <t>100 Airport Drive, 3</t>
    </r>
    <r>
      <rPr>
        <vertAlign val="superscript"/>
        <sz val="11"/>
        <color theme="1"/>
        <rFont val="Calibri"/>
        <family val="2"/>
        <scheme val="minor"/>
      </rPr>
      <t>rd</t>
    </r>
    <r>
      <rPr>
        <sz val="11"/>
        <color theme="1"/>
        <rFont val="Calibri"/>
        <family val="2"/>
        <scheme val="minor"/>
      </rPr>
      <t xml:space="preserve"> Floor</t>
    </r>
  </si>
  <si>
    <t>Frankfort, KY  40601</t>
  </si>
  <si>
    <t>Office - (502) 892-3490</t>
  </si>
  <si>
    <t>Email: DLG-CSD@ky.gov</t>
  </si>
  <si>
    <t xml:space="preserve">Special Purpose Governmental Entity </t>
  </si>
  <si>
    <t>Tax Rate Calculations Workbook</t>
  </si>
  <si>
    <t xml:space="preserve">Real </t>
  </si>
  <si>
    <t>I.</t>
  </si>
  <si>
    <t>/ 100 X</t>
  </si>
  <si>
    <t>is</t>
  </si>
  <si>
    <t>div by</t>
  </si>
  <si>
    <t>X 100</t>
  </si>
  <si>
    <t>A</t>
  </si>
  <si>
    <t>6 minus 7</t>
  </si>
  <si>
    <t>Rate I (round up)</t>
  </si>
  <si>
    <t>Rate I</t>
  </si>
  <si>
    <t>Difference - sub if negative:</t>
  </si>
  <si>
    <t xml:space="preserve">/ </t>
  </si>
  <si>
    <t>X 100 =</t>
  </si>
  <si>
    <t>Substitute for Rate I (Round Up)</t>
  </si>
  <si>
    <t>II: Rate allowing 4%  Increase in Revenue from real property (KRS 132.023(3)):</t>
  </si>
  <si>
    <t xml:space="preserve">is </t>
  </si>
  <si>
    <t>Rate I or sub rate</t>
  </si>
  <si>
    <t>B</t>
  </si>
  <si>
    <t>X 1.04/</t>
  </si>
  <si>
    <t xml:space="preserve"> X 100 is</t>
  </si>
  <si>
    <t>Rate II (Round Down)</t>
  </si>
  <si>
    <t>&amp;</t>
  </si>
  <si>
    <t>X</t>
  </si>
  <si>
    <t>/100=</t>
  </si>
  <si>
    <t xml:space="preserve">Rows M + N Col 3  </t>
  </si>
  <si>
    <t>Tax Rate</t>
  </si>
  <si>
    <t>Revenue Produced</t>
  </si>
  <si>
    <t>MV &amp; Watercraft rates must be submitted to the Revenue Cabinet by October 1 (maximum rate is the rate that could have been levied in 1983)</t>
  </si>
  <si>
    <t>Personal Property - Manually Entered Tax Rate</t>
  </si>
  <si>
    <t>Stage One:</t>
  </si>
  <si>
    <t>3</t>
  </si>
  <si>
    <t>minus</t>
  </si>
  <si>
    <r>
      <t xml:space="preserve">C </t>
    </r>
    <r>
      <rPr>
        <i/>
        <sz val="7"/>
        <rFont val="Arial"/>
        <family val="2"/>
      </rPr>
      <t>(Revenue increase over prior year)</t>
    </r>
  </si>
  <si>
    <t>/</t>
  </si>
  <si>
    <t>C</t>
  </si>
  <si>
    <r>
      <t>D</t>
    </r>
    <r>
      <rPr>
        <i/>
        <sz val="7"/>
        <rFont val="Arial"/>
        <family val="2"/>
      </rPr>
      <t>(Revenue % increase over prior year)</t>
    </r>
  </si>
  <si>
    <t>2.</t>
  </si>
  <si>
    <t>Stage Two:</t>
  </si>
  <si>
    <t>6</t>
  </si>
  <si>
    <t>2</t>
  </si>
  <si>
    <t>E</t>
  </si>
  <si>
    <t>F</t>
  </si>
  <si>
    <r>
      <t>G</t>
    </r>
    <r>
      <rPr>
        <i/>
        <sz val="7"/>
        <rFont val="Arial"/>
        <family val="2"/>
      </rPr>
      <t>(Revenue increase over prior year)</t>
    </r>
  </si>
  <si>
    <t>G</t>
  </si>
  <si>
    <r>
      <t>H</t>
    </r>
    <r>
      <rPr>
        <i/>
        <sz val="7"/>
        <rFont val="Arial"/>
        <family val="2"/>
      </rPr>
      <t>(Revenue % increase over prior year)</t>
    </r>
  </si>
  <si>
    <t>3.</t>
  </si>
  <si>
    <t>Stage Three:</t>
  </si>
  <si>
    <t>Option 1:</t>
  </si>
  <si>
    <t>If</t>
  </si>
  <si>
    <t>is = to or greater than</t>
  </si>
  <si>
    <t>H</t>
  </si>
  <si>
    <t>D</t>
  </si>
  <si>
    <t>Option 2:</t>
  </si>
  <si>
    <t>is less than</t>
  </si>
  <si>
    <t xml:space="preserve">Option 2 may be utilized.   </t>
  </si>
  <si>
    <t>x</t>
  </si>
  <si>
    <t>D = +1.0</t>
  </si>
  <si>
    <t>x 100=</t>
  </si>
  <si>
    <t>J</t>
  </si>
  <si>
    <t>The district may levy a rate less than the real property tax rate.</t>
  </si>
  <si>
    <t>Personal Property - Based on Substitute Tax Rate</t>
  </si>
  <si>
    <t>Personal Property - Based on Compensating Tax Rate</t>
  </si>
  <si>
    <t>Personal Property - Based on 4% Increase Tax Rate</t>
  </si>
  <si>
    <t>The tax rates and revenue computations presented below are based on the county assessment information furnished by the Kentucky Department of Revenue Cabinet. These assessments are the foundation for determining the tax rates applicable to your SPGE.</t>
  </si>
  <si>
    <t>Please refer to the table below for the summary of the Compensating rate and the 4% Increase rate for your SPGE: (For more details on how the rates were calculated, please refer to the other tabs found in this file).</t>
  </si>
  <si>
    <t xml:space="preserve"> Compensating Tax Rate</t>
  </si>
  <si>
    <r>
      <rPr>
        <b/>
        <sz val="10"/>
        <color theme="1"/>
        <rFont val="Calibri"/>
        <family val="2"/>
        <scheme val="minor"/>
      </rPr>
      <t xml:space="preserve">- </t>
    </r>
    <r>
      <rPr>
        <b/>
        <u/>
        <sz val="10"/>
        <color theme="1"/>
        <rFont val="Calibri"/>
        <family val="2"/>
        <scheme val="minor"/>
      </rPr>
      <t>Compensating Tax Rate</t>
    </r>
    <r>
      <rPr>
        <sz val="10"/>
        <color theme="1"/>
        <rFont val="Calibri"/>
        <family val="2"/>
        <scheme val="minor"/>
      </rPr>
      <t>: If the value is negative, show the substitution rate; otherwise, display the compensating rate and revenues.</t>
    </r>
  </si>
  <si>
    <r>
      <t xml:space="preserve">- </t>
    </r>
    <r>
      <rPr>
        <b/>
        <u/>
        <sz val="10"/>
        <color theme="1"/>
        <rFont val="Calibri"/>
        <family val="2"/>
        <scheme val="minor"/>
      </rPr>
      <t>When the Calculated tax rate in the table may exceed your district's statutory maximum</t>
    </r>
    <r>
      <rPr>
        <sz val="10"/>
        <color theme="1"/>
        <rFont val="Calibri"/>
        <family val="2"/>
        <scheme val="minor"/>
      </rPr>
      <t>: Therefore, your SPGE must assume responsibility to ensure that the rates levied are within the allowable maximum rate on the assessed valuation of all property in the district, as specified in the relevant sections of KRS Chapter 132.</t>
    </r>
  </si>
  <si>
    <t>If you require further assistance or clarification regarding the tax rates and revenue computations provided by the DLG, please do not hesitate to contact us. We are here to assist you throughout this process and ensure a smooth implementation in accordance with the provisions of KRS Chapter 132.</t>
  </si>
  <si>
    <t>The Cities and Special Districts Branch Staff</t>
  </si>
  <si>
    <t>Print Date</t>
  </si>
  <si>
    <r>
      <rPr>
        <b/>
        <sz val="10"/>
        <color theme="1"/>
        <rFont val="Calibri"/>
        <family val="2"/>
        <scheme val="minor"/>
      </rPr>
      <t xml:space="preserve">- </t>
    </r>
    <r>
      <rPr>
        <b/>
        <u/>
        <sz val="10"/>
        <color theme="1"/>
        <rFont val="Calibri"/>
        <family val="2"/>
        <scheme val="minor"/>
      </rPr>
      <t>Hearing required; no recall option - Public Hearings</t>
    </r>
    <r>
      <rPr>
        <sz val="10"/>
        <color theme="1"/>
        <rFont val="Calibri"/>
        <family val="2"/>
        <scheme val="minor"/>
      </rPr>
      <t xml:space="preserve">:  Any taxing district proposing to levy a tax rate that </t>
    </r>
    <r>
      <rPr>
        <u/>
        <sz val="10"/>
        <color theme="1"/>
        <rFont val="Calibri"/>
        <family val="2"/>
        <scheme val="minor"/>
      </rPr>
      <t>exceeds the compensating tax rate</t>
    </r>
    <r>
      <rPr>
        <sz val="10"/>
        <color theme="1"/>
        <rFont val="Calibri"/>
        <family val="2"/>
        <scheme val="minor"/>
      </rPr>
      <t xml:space="preserve"> must hold a public hearing to obtain comments from the public regarding the proposed tax rate.</t>
    </r>
  </si>
  <si>
    <r>
      <rPr>
        <b/>
        <sz val="10"/>
        <color theme="1"/>
        <rFont val="Calibri"/>
        <family val="2"/>
        <scheme val="minor"/>
      </rPr>
      <t xml:space="preserve">- </t>
    </r>
    <r>
      <rPr>
        <b/>
        <u/>
        <sz val="10"/>
        <color theme="1"/>
        <rFont val="Calibri"/>
        <family val="2"/>
        <scheme val="minor"/>
      </rPr>
      <t>No hearing required - subject to recall - Recall Vote</t>
    </r>
    <r>
      <rPr>
        <sz val="10"/>
        <color theme="1"/>
        <rFont val="Calibri"/>
        <family val="2"/>
        <scheme val="minor"/>
      </rPr>
      <t xml:space="preserve">:  If a taxing district levies a tax rate that will produce revenue from real property, excluding revenue from the new property, </t>
    </r>
    <r>
      <rPr>
        <u/>
        <sz val="10"/>
        <color theme="1"/>
        <rFont val="Calibri"/>
        <family val="2"/>
        <scheme val="minor"/>
      </rPr>
      <t>exceeding 4% over the amount of revenue produced by the compensating tax rate</t>
    </r>
    <r>
      <rPr>
        <sz val="10"/>
        <color theme="1"/>
        <rFont val="Calibri"/>
        <family val="2"/>
        <scheme val="minor"/>
      </rPr>
      <t>, the portion that exceeds the 4% threshold is subject to a recall vote or reconsideration by the taxing district. The procedures for establishing this type of tax rate are governed by KRS 132.017.</t>
    </r>
  </si>
  <si>
    <t>Calendar Year</t>
  </si>
  <si>
    <t xml:space="preserve"> 4% Increase Tax Rate</t>
  </si>
  <si>
    <t>Lock green cells before upload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</si>
</sst>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quot;$&quot;#,##0;\-&quot;$&quot;#,##0"/>
    <numFmt numFmtId="165" formatCode="0.000"/>
    <numFmt numFmtId="166" formatCode=".0000000000"/>
    <numFmt numFmtId="167" formatCode=".000"/>
    <numFmt numFmtId="168" formatCode=".0000"/>
    <numFmt numFmtId="169" formatCode="0.0000"/>
    <numFmt numFmtId="170" formatCode="0.0000%"/>
    <numFmt numFmtId="171" formatCode="&quot;$&quot;#,##0"/>
    <numFmt numFmtId="172" formatCode="0.0000000"/>
    <numFmt numFmtId="173" formatCode="_(* #,##0.0000_);_(* \(#,##0.0000\);_(* &quot;-&quot;????_);_(@_)"/>
    <numFmt numFmtId="174" formatCode="0.000000000"/>
    <numFmt numFmtId="175" formatCode="[$-F800]dddd\,\ mmmm\ dd\,\ yyyy"/>
    <numFmt numFmtId="176" formatCode="_(&quot;$&quot;* #,##0_);_(&quot;$&quot;* \(#,##0\);_(&quot;$&quot;* &quot;-&quot;??_);_(@_)"/>
    <numFmt numFmtId="177" formatCode="[$-409]mmmm\ d\,\ yyyy;@"/>
    <numFmt numFmtId="178" formatCode="0.0"/>
  </numFmts>
  <fonts count="46" x14ac:knownFonts="1">
    <font>
      <sz val="11"/>
      <color theme="1"/>
      <name val="Calibri"/>
      <family val="2"/>
      <scheme val="minor"/>
    </font>
    <font>
      <b/>
      <sz val="11"/>
      <color theme="1"/>
      <name val="Calibri"/>
      <family val="2"/>
      <scheme val="minor"/>
    </font>
    <font>
      <b/>
      <sz val="8"/>
      <name val="Arial"/>
      <family val="2"/>
    </font>
    <font>
      <b/>
      <sz val="10"/>
      <name val="Arial"/>
      <family val="2"/>
    </font>
    <font>
      <i/>
      <sz val="10"/>
      <name val="Arial"/>
      <family val="2"/>
    </font>
    <font>
      <i/>
      <sz val="8"/>
      <name val="Arial"/>
      <family val="2"/>
    </font>
    <font>
      <sz val="10"/>
      <name val="Arial"/>
      <family val="2"/>
    </font>
    <font>
      <b/>
      <sz val="10"/>
      <color theme="1"/>
      <name val="Calibri"/>
      <family val="2"/>
      <scheme val="minor"/>
    </font>
    <font>
      <sz val="10"/>
      <color theme="1"/>
      <name val="Calibri"/>
      <family val="2"/>
      <scheme val="minor"/>
    </font>
    <font>
      <b/>
      <sz val="10"/>
      <color rgb="FFFF0000"/>
      <name val="Arial"/>
      <family val="2"/>
    </font>
    <font>
      <b/>
      <i/>
      <sz val="10"/>
      <name val="Arial"/>
      <family val="2"/>
    </font>
    <font>
      <b/>
      <i/>
      <u/>
      <sz val="10"/>
      <name val="Arial"/>
      <family val="2"/>
    </font>
    <font>
      <u/>
      <sz val="10"/>
      <color indexed="12"/>
      <name val="Arial"/>
      <family val="2"/>
    </font>
    <font>
      <b/>
      <sz val="9"/>
      <name val="Arial"/>
      <family val="2"/>
    </font>
    <font>
      <sz val="9"/>
      <name val="Arial"/>
      <family val="2"/>
    </font>
    <font>
      <b/>
      <u/>
      <sz val="9"/>
      <name val="Arial"/>
      <family val="2"/>
    </font>
    <font>
      <i/>
      <sz val="7"/>
      <name val="Arial"/>
      <family val="2"/>
    </font>
    <font>
      <sz val="8"/>
      <name val="Arial"/>
      <family val="2"/>
    </font>
    <font>
      <b/>
      <sz val="14"/>
      <color theme="1"/>
      <name val="Calibri"/>
      <family val="2"/>
      <scheme val="minor"/>
    </font>
    <font>
      <sz val="14"/>
      <color theme="1"/>
      <name val="Calibri"/>
      <family val="2"/>
      <scheme val="minor"/>
    </font>
    <font>
      <sz val="14"/>
      <name val="Arial"/>
      <family val="2"/>
    </font>
    <font>
      <b/>
      <sz val="16"/>
      <color theme="9" tint="-0.249977111117893"/>
      <name val="Calibri"/>
      <family val="2"/>
      <scheme val="minor"/>
    </font>
    <font>
      <sz val="16"/>
      <color theme="1"/>
      <name val="Calibri"/>
      <family val="2"/>
      <scheme val="minor"/>
    </font>
    <font>
      <sz val="16"/>
      <color theme="9" tint="-0.249977111117893"/>
      <name val="Calibri"/>
      <family val="2"/>
      <scheme val="minor"/>
    </font>
    <font>
      <b/>
      <sz val="16"/>
      <color theme="1"/>
      <name val="Calibri"/>
      <family val="2"/>
      <scheme val="minor"/>
    </font>
    <font>
      <sz val="16"/>
      <name val="Arial"/>
      <family val="2"/>
    </font>
    <font>
      <b/>
      <sz val="12"/>
      <color theme="9" tint="-0.249977111117893"/>
      <name val="Calibri"/>
      <family val="2"/>
      <scheme val="minor"/>
    </font>
    <font>
      <sz val="12"/>
      <color theme="9" tint="-0.249977111117893"/>
      <name val="Calibri"/>
      <family val="2"/>
      <scheme val="minor"/>
    </font>
    <font>
      <sz val="10"/>
      <name val="Footlight MT Light"/>
      <family val="1"/>
    </font>
    <font>
      <b/>
      <sz val="14"/>
      <color theme="4" tint="-0.249977111117893"/>
      <name val="Calibri"/>
      <family val="2"/>
      <scheme val="minor"/>
    </font>
    <font>
      <vertAlign val="superscript"/>
      <sz val="11"/>
      <color theme="1"/>
      <name val="Calibri"/>
      <family val="2"/>
      <scheme val="minor"/>
    </font>
    <font>
      <u/>
      <sz val="11"/>
      <color theme="10"/>
      <name val="Calibri"/>
      <family val="2"/>
      <scheme val="minor"/>
    </font>
    <font>
      <u/>
      <sz val="11"/>
      <color rgb="FFC00000"/>
      <name val="Calibri"/>
      <family val="2"/>
      <scheme val="minor"/>
    </font>
    <font>
      <b/>
      <sz val="11"/>
      <color theme="1" tint="4.9989318521683403E-2"/>
      <name val="Calibri"/>
      <family val="2"/>
      <scheme val="minor"/>
    </font>
    <font>
      <sz val="11"/>
      <color theme="1" tint="4.9989318521683403E-2"/>
      <name val="Calibri"/>
      <family val="2"/>
      <scheme val="minor"/>
    </font>
    <font>
      <sz val="10"/>
      <color theme="0"/>
      <name val="Arial"/>
      <family val="2"/>
    </font>
    <font>
      <b/>
      <sz val="11"/>
      <name val="Calibri"/>
      <family val="2"/>
      <scheme val="minor"/>
    </font>
    <font>
      <sz val="11"/>
      <name val="Calibri"/>
      <family val="2"/>
      <scheme val="minor"/>
    </font>
    <font>
      <b/>
      <u/>
      <sz val="10"/>
      <color theme="1"/>
      <name val="Calibri"/>
      <family val="2"/>
      <scheme val="minor"/>
    </font>
    <font>
      <u/>
      <sz val="10"/>
      <color theme="1"/>
      <name val="Calibri"/>
      <family val="2"/>
      <scheme val="minor"/>
    </font>
    <font>
      <sz val="11"/>
      <name val="Footlight MT Light"/>
      <family val="1"/>
    </font>
    <font>
      <sz val="12"/>
      <color theme="8" tint="-0.499984740745262"/>
      <name val="Calibri"/>
      <family val="2"/>
      <scheme val="minor"/>
    </font>
    <font>
      <sz val="12"/>
      <color rgb="FF002060"/>
      <name val="Microsoft Sans Serif"/>
      <family val="2"/>
    </font>
    <font>
      <sz val="11"/>
      <color theme="1"/>
      <name val="Calibri"/>
      <family val="2"/>
      <scheme val="minor"/>
    </font>
    <font>
      <b/>
      <sz val="16"/>
      <color theme="4" tint="-0.499984740745262"/>
      <name val="Caveat"/>
    </font>
    <font>
      <b/>
      <sz val="10"/>
      <color theme="4" tint="-0.499984740745262"/>
      <name val="Arial"/>
      <family val="2"/>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13"/>
        <bgColor indexed="64"/>
      </patternFill>
    </fill>
    <fill>
      <patternFill patternType="solid">
        <fgColor indexed="5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7">
    <border>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B050"/>
      </right>
      <top/>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theme="5" tint="-0.24994659260841701"/>
      </left>
      <right/>
      <top style="double">
        <color theme="5" tint="-0.24994659260841701"/>
      </top>
      <bottom style="double">
        <color theme="5" tint="-0.24994659260841701"/>
      </bottom>
      <diagonal/>
    </border>
    <border>
      <left/>
      <right/>
      <top style="double">
        <color theme="5" tint="-0.24994659260841701"/>
      </top>
      <bottom style="double">
        <color theme="5" tint="-0.24994659260841701"/>
      </bottom>
      <diagonal/>
    </border>
    <border>
      <left/>
      <right style="double">
        <color theme="5" tint="-0.24994659260841701"/>
      </right>
      <top style="double">
        <color theme="5" tint="-0.24994659260841701"/>
      </top>
      <bottom style="double">
        <color theme="5" tint="-0.24994659260841701"/>
      </bottom>
      <diagonal/>
    </border>
    <border>
      <left/>
      <right/>
      <top style="double">
        <color indexed="64"/>
      </top>
      <bottom style="thin">
        <color indexed="64"/>
      </bottom>
      <diagonal/>
    </border>
  </borders>
  <cellStyleXfs count="9">
    <xf numFmtId="0" fontId="0" fillId="0" borderId="0"/>
    <xf numFmtId="0" fontId="6" fillId="0" borderId="0"/>
    <xf numFmtId="0" fontId="12" fillId="0" borderId="0" applyNumberFormat="0" applyFill="0" applyBorder="0" applyAlignment="0" applyProtection="0">
      <alignment vertical="top"/>
      <protection locked="0"/>
    </xf>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1" fillId="0" borderId="0" applyNumberFormat="0" applyFill="0" applyBorder="0" applyAlignment="0" applyProtection="0"/>
    <xf numFmtId="44" fontId="43" fillId="0" borderId="0" applyFont="0" applyFill="0" applyBorder="0" applyAlignment="0" applyProtection="0"/>
    <xf numFmtId="0" fontId="6" fillId="0" borderId="0"/>
  </cellStyleXfs>
  <cellXfs count="216">
    <xf numFmtId="0" fontId="0" fillId="0" borderId="0" xfId="0"/>
    <xf numFmtId="0" fontId="6" fillId="0" borderId="0" xfId="1"/>
    <xf numFmtId="0" fontId="3" fillId="0" borderId="0" xfId="1" applyFont="1"/>
    <xf numFmtId="0" fontId="6" fillId="0" borderId="4" xfId="1" applyBorder="1"/>
    <xf numFmtId="0" fontId="6" fillId="0" borderId="2" xfId="1" applyBorder="1"/>
    <xf numFmtId="3" fontId="6" fillId="0" borderId="0" xfId="1" applyNumberFormat="1"/>
    <xf numFmtId="3" fontId="6" fillId="5" borderId="0" xfId="1" applyNumberFormat="1" applyFill="1"/>
    <xf numFmtId="0" fontId="3" fillId="5" borderId="0" xfId="1" applyFont="1" applyFill="1"/>
    <xf numFmtId="0" fontId="10" fillId="0" borderId="0" xfId="1" applyFont="1"/>
    <xf numFmtId="0" fontId="4" fillId="0" borderId="0" xfId="1" applyFont="1" applyAlignment="1">
      <alignment horizontal="center"/>
    </xf>
    <xf numFmtId="0" fontId="11" fillId="0" borderId="0" xfId="1" applyFont="1"/>
    <xf numFmtId="0" fontId="2" fillId="0" borderId="0" xfId="1" applyFont="1" applyAlignment="1">
      <alignment horizontal="center"/>
    </xf>
    <xf numFmtId="0" fontId="3" fillId="0" borderId="0" xfId="1" applyFont="1" applyAlignment="1">
      <alignment horizontal="center"/>
    </xf>
    <xf numFmtId="169" fontId="6" fillId="0" borderId="2" xfId="1" applyNumberFormat="1" applyBorder="1"/>
    <xf numFmtId="164" fontId="6" fillId="0" borderId="2" xfId="1" applyNumberFormat="1" applyBorder="1" applyAlignment="1">
      <alignment horizontal="center"/>
    </xf>
    <xf numFmtId="49" fontId="4" fillId="0" borderId="0" xfId="1" applyNumberFormat="1" applyFont="1" applyAlignment="1">
      <alignment horizontal="center"/>
    </xf>
    <xf numFmtId="0" fontId="13" fillId="0" borderId="0" xfId="1" applyFont="1"/>
    <xf numFmtId="0" fontId="13" fillId="0" borderId="0" xfId="1" applyFont="1" applyAlignment="1">
      <alignment horizontal="center"/>
    </xf>
    <xf numFmtId="0" fontId="13" fillId="0" borderId="2" xfId="1" applyFont="1" applyBorder="1"/>
    <xf numFmtId="0" fontId="14" fillId="0" borderId="0" xfId="1" applyFont="1" applyAlignment="1">
      <alignment horizontal="center"/>
    </xf>
    <xf numFmtId="170" fontId="6" fillId="0" borderId="2" xfId="1" applyNumberFormat="1" applyBorder="1" applyAlignment="1">
      <alignment horizontal="center"/>
    </xf>
    <xf numFmtId="171" fontId="13" fillId="0" borderId="2" xfId="1" applyNumberFormat="1" applyFont="1" applyBorder="1" applyAlignment="1">
      <alignment horizontal="center"/>
    </xf>
    <xf numFmtId="172" fontId="13" fillId="0" borderId="2" xfId="1" applyNumberFormat="1" applyFont="1" applyBorder="1"/>
    <xf numFmtId="172" fontId="13" fillId="0" borderId="2" xfId="1" applyNumberFormat="1" applyFont="1" applyBorder="1" applyAlignment="1">
      <alignment horizontal="center"/>
    </xf>
    <xf numFmtId="49" fontId="15" fillId="0" borderId="0" xfId="1" applyNumberFormat="1" applyFont="1" applyAlignment="1">
      <alignment horizontal="center"/>
    </xf>
    <xf numFmtId="49" fontId="13" fillId="0" borderId="0" xfId="1" applyNumberFormat="1" applyFont="1" applyAlignment="1">
      <alignment horizontal="center"/>
    </xf>
    <xf numFmtId="164" fontId="13" fillId="0" borderId="0" xfId="1" applyNumberFormat="1" applyFont="1" applyAlignment="1">
      <alignment horizontal="center"/>
    </xf>
    <xf numFmtId="49" fontId="13" fillId="0" borderId="0" xfId="1" applyNumberFormat="1" applyFont="1"/>
    <xf numFmtId="173" fontId="13" fillId="0" borderId="2" xfId="1" applyNumberFormat="1" applyFont="1" applyBorder="1" applyAlignment="1">
      <alignment horizontal="center"/>
    </xf>
    <xf numFmtId="172" fontId="13" fillId="0" borderId="0" xfId="1" applyNumberFormat="1" applyFont="1" applyAlignment="1">
      <alignment horizontal="center"/>
    </xf>
    <xf numFmtId="172" fontId="6" fillId="0" borderId="2" xfId="1" applyNumberFormat="1" applyBorder="1"/>
    <xf numFmtId="172" fontId="6" fillId="0" borderId="2" xfId="1" applyNumberFormat="1" applyBorder="1" applyAlignment="1">
      <alignment horizontal="center"/>
    </xf>
    <xf numFmtId="49" fontId="6" fillId="0" borderId="0" xfId="1" applyNumberFormat="1" applyAlignment="1">
      <alignment horizontal="center"/>
    </xf>
    <xf numFmtId="49" fontId="6" fillId="0" borderId="0" xfId="1" applyNumberFormat="1"/>
    <xf numFmtId="49" fontId="3" fillId="0" borderId="0" xfId="1" applyNumberFormat="1" applyFont="1" applyAlignment="1">
      <alignment horizontal="center"/>
    </xf>
    <xf numFmtId="169" fontId="6" fillId="0" borderId="2" xfId="1" applyNumberFormat="1" applyBorder="1" applyAlignment="1">
      <alignment horizontal="center"/>
    </xf>
    <xf numFmtId="0" fontId="6" fillId="0" borderId="2" xfId="1" applyBorder="1" applyAlignment="1">
      <alignment horizontal="center"/>
    </xf>
    <xf numFmtId="49" fontId="4" fillId="0" borderId="0" xfId="1" applyNumberFormat="1" applyFont="1"/>
    <xf numFmtId="0" fontId="4" fillId="0" borderId="1" xfId="1" applyFont="1" applyBorder="1" applyAlignment="1">
      <alignment horizontal="center"/>
    </xf>
    <xf numFmtId="171" fontId="6" fillId="0" borderId="2" xfId="1" applyNumberFormat="1" applyBorder="1"/>
    <xf numFmtId="164" fontId="0" fillId="0" borderId="2" xfId="4" applyNumberFormat="1" applyFont="1" applyBorder="1"/>
    <xf numFmtId="44" fontId="0" fillId="0" borderId="0" xfId="3" applyFont="1"/>
    <xf numFmtId="49" fontId="4" fillId="0" borderId="0" xfId="3" applyNumberFormat="1" applyFont="1" applyAlignment="1">
      <alignment horizontal="center"/>
    </xf>
    <xf numFmtId="164" fontId="0" fillId="0" borderId="2" xfId="3" applyNumberFormat="1" applyFont="1" applyBorder="1"/>
    <xf numFmtId="44" fontId="3" fillId="0" borderId="0" xfId="3" applyFont="1"/>
    <xf numFmtId="164" fontId="3" fillId="0" borderId="2" xfId="3" applyNumberFormat="1" applyFont="1" applyBorder="1"/>
    <xf numFmtId="0" fontId="6" fillId="0" borderId="0" xfId="1" applyAlignment="1">
      <alignment horizontal="center"/>
    </xf>
    <xf numFmtId="168" fontId="3" fillId="0" borderId="2" xfId="1" applyNumberFormat="1" applyFont="1" applyBorder="1"/>
    <xf numFmtId="171" fontId="13" fillId="0" borderId="2" xfId="1" applyNumberFormat="1" applyFont="1" applyBorder="1"/>
    <xf numFmtId="174" fontId="6" fillId="6" borderId="0" xfId="1" applyNumberFormat="1" applyFill="1"/>
    <xf numFmtId="0" fontId="0" fillId="0" borderId="2" xfId="5" applyNumberFormat="1" applyFont="1" applyBorder="1" applyAlignment="1">
      <alignment horizontal="center"/>
    </xf>
    <xf numFmtId="0" fontId="17" fillId="6" borderId="0" xfId="1" applyFont="1" applyFill="1" applyAlignment="1">
      <alignment horizontal="center"/>
    </xf>
    <xf numFmtId="168" fontId="0" fillId="0" borderId="2" xfId="3" applyNumberFormat="1" applyFont="1" applyBorder="1"/>
    <xf numFmtId="171" fontId="6" fillId="0" borderId="2" xfId="1" applyNumberFormat="1" applyBorder="1" applyAlignment="1">
      <alignment horizontal="center"/>
    </xf>
    <xf numFmtId="168" fontId="0" fillId="0" borderId="2" xfId="3" applyNumberFormat="1" applyFont="1" applyBorder="1" applyAlignment="1">
      <alignment horizontal="center"/>
    </xf>
    <xf numFmtId="0" fontId="20" fillId="0" borderId="0" xfId="1" applyFont="1"/>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1" applyFont="1"/>
    <xf numFmtId="0" fontId="8" fillId="0" borderId="0" xfId="0" applyFont="1" applyAlignment="1">
      <alignment horizontal="center"/>
    </xf>
    <xf numFmtId="0" fontId="0" fillId="0" borderId="0" xfId="0" applyAlignment="1">
      <alignment wrapText="1"/>
    </xf>
    <xf numFmtId="0" fontId="1" fillId="0" borderId="14" xfId="0" applyFont="1" applyBorder="1" applyAlignment="1">
      <alignment horizontal="center"/>
    </xf>
    <xf numFmtId="0" fontId="1" fillId="0" borderId="15" xfId="0" applyFont="1" applyBorder="1" applyAlignment="1">
      <alignment horizontal="center"/>
    </xf>
    <xf numFmtId="171" fontId="0" fillId="0" borderId="16" xfId="0" applyNumberFormat="1" applyBorder="1"/>
    <xf numFmtId="171" fontId="0" fillId="0" borderId="14" xfId="0" applyNumberFormat="1" applyBorder="1"/>
    <xf numFmtId="0" fontId="29" fillId="0" borderId="0" xfId="0" applyFont="1" applyAlignment="1">
      <alignment vertical="center"/>
    </xf>
    <xf numFmtId="0" fontId="29" fillId="0" borderId="0" xfId="0" applyFont="1"/>
    <xf numFmtId="0" fontId="0" fillId="0" borderId="0" xfId="0" applyAlignment="1">
      <alignment vertical="center"/>
    </xf>
    <xf numFmtId="0" fontId="32" fillId="0" borderId="0" xfId="6" applyFont="1" applyAlignment="1">
      <alignment vertical="center"/>
    </xf>
    <xf numFmtId="175" fontId="33" fillId="7" borderId="15" xfId="0" applyNumberFormat="1" applyFont="1" applyFill="1" applyBorder="1"/>
    <xf numFmtId="0" fontId="33" fillId="7" borderId="17" xfId="0" quotePrefix="1" applyFont="1" applyFill="1" applyBorder="1"/>
    <xf numFmtId="0" fontId="34" fillId="7" borderId="18" xfId="0" applyFont="1" applyFill="1" applyBorder="1"/>
    <xf numFmtId="0" fontId="18" fillId="0" borderId="0" xfId="0" applyFont="1" applyAlignment="1">
      <alignment horizontal="center"/>
    </xf>
    <xf numFmtId="0" fontId="6" fillId="0" borderId="4" xfId="1" applyBorder="1" applyProtection="1">
      <protection locked="0"/>
    </xf>
    <xf numFmtId="0" fontId="0" fillId="0" borderId="0" xfId="0" applyAlignment="1">
      <alignment vertical="center" wrapText="1"/>
    </xf>
    <xf numFmtId="0" fontId="28" fillId="0" borderId="0" xfId="0" applyFont="1"/>
    <xf numFmtId="0" fontId="40" fillId="0" borderId="0" xfId="0" applyFont="1"/>
    <xf numFmtId="2" fontId="13" fillId="0" borderId="2" xfId="1" applyNumberFormat="1" applyFont="1" applyBorder="1"/>
    <xf numFmtId="0" fontId="0" fillId="0" borderId="0" xfId="0"/>
    <xf numFmtId="0" fontId="18" fillId="0" borderId="0" xfId="0" applyFont="1" applyAlignment="1"/>
    <xf numFmtId="0" fontId="19" fillId="0" borderId="0" xfId="0" applyFont="1" applyAlignment="1"/>
    <xf numFmtId="176" fontId="6" fillId="0" borderId="0" xfId="7" applyNumberFormat="1" applyFont="1"/>
    <xf numFmtId="176" fontId="6" fillId="0" borderId="2" xfId="7" applyNumberFormat="1" applyFont="1" applyBorder="1"/>
    <xf numFmtId="176" fontId="10" fillId="0" borderId="0" xfId="7" applyNumberFormat="1" applyFont="1"/>
    <xf numFmtId="176" fontId="6" fillId="5" borderId="0" xfId="7" applyNumberFormat="1" applyFont="1" applyFill="1"/>
    <xf numFmtId="176" fontId="6" fillId="0" borderId="4" xfId="7" applyNumberFormat="1" applyFont="1" applyBorder="1"/>
    <xf numFmtId="176" fontId="6" fillId="0" borderId="4" xfId="1" applyNumberFormat="1" applyBorder="1"/>
    <xf numFmtId="176" fontId="6" fillId="0" borderId="0" xfId="1" applyNumberFormat="1"/>
    <xf numFmtId="176" fontId="6" fillId="0" borderId="2" xfId="1" applyNumberFormat="1" applyBorder="1"/>
    <xf numFmtId="176" fontId="9" fillId="0" borderId="0" xfId="7" applyNumberFormat="1" applyFont="1"/>
    <xf numFmtId="0" fontId="9" fillId="0" borderId="0" xfId="1" applyFont="1" applyAlignment="1">
      <alignment horizontal="center"/>
    </xf>
    <xf numFmtId="0" fontId="0" fillId="0" borderId="0" xfId="0"/>
    <xf numFmtId="0" fontId="3" fillId="8" borderId="3" xfId="1" applyFont="1" applyFill="1" applyBorder="1" applyProtection="1"/>
    <xf numFmtId="0" fontId="6" fillId="0" borderId="0" xfId="1" applyProtection="1"/>
    <xf numFmtId="15" fontId="3" fillId="8" borderId="3" xfId="1" applyNumberFormat="1" applyFont="1" applyFill="1" applyBorder="1" applyProtection="1"/>
    <xf numFmtId="176" fontId="3" fillId="8" borderId="3" xfId="7" applyNumberFormat="1" applyFont="1" applyFill="1" applyBorder="1" applyProtection="1"/>
    <xf numFmtId="176" fontId="6" fillId="2" borderId="2" xfId="7" applyNumberFormat="1" applyFont="1" applyFill="1" applyBorder="1" applyProtection="1"/>
    <xf numFmtId="176" fontId="0" fillId="2" borderId="2" xfId="7" applyNumberFormat="1" applyFont="1" applyFill="1" applyBorder="1" applyProtection="1"/>
    <xf numFmtId="176" fontId="6" fillId="4" borderId="22" xfId="7" applyNumberFormat="1" applyFont="1" applyFill="1" applyBorder="1" applyProtection="1"/>
    <xf numFmtId="0" fontId="0" fillId="0" borderId="0" xfId="0"/>
    <xf numFmtId="0" fontId="0" fillId="0" borderId="0" xfId="0"/>
    <xf numFmtId="0" fontId="0" fillId="0" borderId="0" xfId="0" applyAlignment="1"/>
    <xf numFmtId="0" fontId="1" fillId="0" borderId="0" xfId="0" applyFont="1" applyAlignment="1"/>
    <xf numFmtId="0" fontId="28" fillId="0" borderId="0" xfId="0" applyFont="1" applyAlignment="1"/>
    <xf numFmtId="0" fontId="44" fillId="0" borderId="0" xfId="0" applyFont="1" applyAlignment="1"/>
    <xf numFmtId="14" fontId="3" fillId="8" borderId="3" xfId="1" applyNumberFormat="1" applyFont="1" applyFill="1" applyBorder="1" applyProtection="1"/>
    <xf numFmtId="0" fontId="3" fillId="9" borderId="3" xfId="1" applyFont="1" applyFill="1" applyBorder="1" applyProtection="1">
      <protection locked="0"/>
    </xf>
    <xf numFmtId="15" fontId="3" fillId="9" borderId="3" xfId="1" applyNumberFormat="1" applyFont="1" applyFill="1" applyBorder="1" applyProtection="1">
      <protection locked="0"/>
    </xf>
    <xf numFmtId="0" fontId="14" fillId="9" borderId="23" xfId="1" applyFont="1" applyFill="1" applyBorder="1"/>
    <xf numFmtId="0" fontId="14" fillId="6" borderId="0" xfId="1" applyFont="1" applyFill="1" applyBorder="1"/>
    <xf numFmtId="0" fontId="6" fillId="6" borderId="0" xfId="1" applyFill="1" applyBorder="1"/>
    <xf numFmtId="0" fontId="13" fillId="6" borderId="0" xfId="1" applyFont="1" applyFill="1" applyBorder="1" applyAlignment="1">
      <alignment horizontal="center"/>
    </xf>
    <xf numFmtId="0" fontId="13" fillId="9" borderId="24" xfId="1" applyFont="1" applyFill="1" applyBorder="1" applyAlignment="1" applyProtection="1">
      <alignment horizontal="center"/>
    </xf>
    <xf numFmtId="0" fontId="14" fillId="9" borderId="25" xfId="1" applyFont="1" applyFill="1" applyBorder="1" applyProtection="1"/>
    <xf numFmtId="0" fontId="14" fillId="9" borderId="23" xfId="1" applyFont="1" applyFill="1" applyBorder="1" applyProtection="1"/>
    <xf numFmtId="168" fontId="3" fillId="0" borderId="4" xfId="1" applyNumberFormat="1" applyFont="1" applyFill="1" applyBorder="1" applyProtection="1"/>
    <xf numFmtId="168" fontId="3" fillId="0" borderId="26" xfId="1" applyNumberFormat="1" applyFont="1" applyFill="1" applyBorder="1" applyProtection="1"/>
    <xf numFmtId="165" fontId="6" fillId="0" borderId="3" xfId="4" applyNumberFormat="1" applyFont="1" applyFill="1" applyBorder="1" applyProtection="1"/>
    <xf numFmtId="178" fontId="0" fillId="0" borderId="14" xfId="0" applyNumberFormat="1" applyBorder="1"/>
    <xf numFmtId="0" fontId="19" fillId="0" borderId="0" xfId="0" applyFont="1" applyAlignment="1" applyProtection="1"/>
    <xf numFmtId="0" fontId="18" fillId="0" borderId="0" xfId="0" applyFont="1" applyAlignment="1" applyProtection="1">
      <alignment horizontal="center"/>
    </xf>
    <xf numFmtId="0" fontId="20" fillId="0" borderId="0" xfId="1" applyFont="1" applyProtection="1"/>
    <xf numFmtId="0" fontId="18" fillId="0" borderId="0" xfId="0" applyFont="1" applyAlignment="1" applyProtection="1"/>
    <xf numFmtId="0" fontId="27" fillId="0" borderId="0" xfId="0" applyFont="1" applyAlignment="1" applyProtection="1"/>
    <xf numFmtId="0" fontId="7" fillId="0" borderId="0" xfId="0" applyFont="1" applyAlignment="1" applyProtection="1">
      <alignment horizontal="center"/>
    </xf>
    <xf numFmtId="0" fontId="8" fillId="0" borderId="0" xfId="0" applyFont="1" applyAlignment="1" applyProtection="1">
      <alignment horizont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25" fillId="0" borderId="0" xfId="1" applyFont="1" applyProtection="1"/>
    <xf numFmtId="0" fontId="0" fillId="0" borderId="9" xfId="0" applyBorder="1" applyAlignment="1" applyProtection="1"/>
    <xf numFmtId="0" fontId="0" fillId="0" borderId="0" xfId="0" applyProtection="1"/>
    <xf numFmtId="49" fontId="6" fillId="0" borderId="0" xfId="1" applyNumberFormat="1" applyProtection="1"/>
    <xf numFmtId="44" fontId="0" fillId="0" borderId="0" xfId="3" applyFont="1" applyProtection="1"/>
    <xf numFmtId="49" fontId="6" fillId="0" borderId="0" xfId="1" applyNumberFormat="1" applyAlignment="1" applyProtection="1">
      <alignment horizontal="center"/>
    </xf>
    <xf numFmtId="0" fontId="6" fillId="0" borderId="0" xfId="1" applyAlignment="1" applyProtection="1">
      <alignment horizontal="center"/>
    </xf>
    <xf numFmtId="0" fontId="3" fillId="0" borderId="0" xfId="1" applyFont="1" applyProtection="1"/>
    <xf numFmtId="164" fontId="6" fillId="0" borderId="2" xfId="3" applyNumberFormat="1" applyFont="1" applyBorder="1" applyProtection="1"/>
    <xf numFmtId="176" fontId="6" fillId="0" borderId="0" xfId="7" applyNumberFormat="1" applyFont="1" applyProtection="1"/>
    <xf numFmtId="164" fontId="3" fillId="0" borderId="2" xfId="3" applyNumberFormat="1" applyFont="1" applyBorder="1" applyProtection="1"/>
    <xf numFmtId="164" fontId="0" fillId="0" borderId="2" xfId="3" applyNumberFormat="1" applyFont="1" applyBorder="1" applyProtection="1"/>
    <xf numFmtId="2" fontId="35" fillId="0" borderId="0" xfId="1" applyNumberFormat="1" applyFont="1" applyAlignment="1" applyProtection="1">
      <alignment horizontal="center"/>
    </xf>
    <xf numFmtId="3" fontId="3" fillId="0" borderId="0" xfId="1" applyNumberFormat="1" applyFont="1" applyProtection="1"/>
    <xf numFmtId="49" fontId="3" fillId="0" borderId="0" xfId="1" applyNumberFormat="1" applyFont="1" applyAlignment="1" applyProtection="1">
      <alignment horizontal="center"/>
    </xf>
    <xf numFmtId="44" fontId="3" fillId="0" borderId="0" xfId="3" applyFont="1" applyProtection="1"/>
    <xf numFmtId="168" fontId="0" fillId="0" borderId="2" xfId="3" applyNumberFormat="1" applyFont="1" applyBorder="1" applyProtection="1"/>
    <xf numFmtId="0" fontId="4" fillId="0" borderId="0" xfId="1" applyFont="1" applyAlignment="1" applyProtection="1">
      <alignment horizontal="center"/>
    </xf>
    <xf numFmtId="0" fontId="4" fillId="0" borderId="0" xfId="1" applyFont="1" applyProtection="1"/>
    <xf numFmtId="49" fontId="4" fillId="0" borderId="0" xfId="3" applyNumberFormat="1" applyFont="1" applyAlignment="1" applyProtection="1">
      <alignment horizontal="center"/>
    </xf>
    <xf numFmtId="49" fontId="4" fillId="0" borderId="0" xfId="1" applyNumberFormat="1" applyFont="1" applyAlignment="1" applyProtection="1">
      <alignment horizontal="center"/>
    </xf>
    <xf numFmtId="164" fontId="0" fillId="0" borderId="2" xfId="4" applyNumberFormat="1" applyFont="1" applyBorder="1" applyProtection="1"/>
    <xf numFmtId="167" fontId="45" fillId="0" borderId="2" xfId="1" applyNumberFormat="1" applyFont="1" applyBorder="1" applyProtection="1"/>
    <xf numFmtId="0" fontId="6" fillId="0" borderId="0" xfId="1" applyFill="1" applyProtection="1"/>
    <xf numFmtId="16" fontId="4" fillId="0" borderId="0" xfId="1" applyNumberFormat="1" applyFont="1" applyAlignment="1" applyProtection="1">
      <alignment horizontal="center"/>
    </xf>
    <xf numFmtId="0" fontId="2" fillId="0" borderId="0" xfId="1" applyFont="1" applyProtection="1"/>
    <xf numFmtId="167" fontId="0" fillId="0" borderId="2" xfId="5" applyNumberFormat="1" applyFont="1" applyBorder="1" applyProtection="1"/>
    <xf numFmtId="44" fontId="4" fillId="0" borderId="0" xfId="3" applyFont="1" applyAlignment="1" applyProtection="1">
      <alignment horizontal="center"/>
    </xf>
    <xf numFmtId="0" fontId="10" fillId="0" borderId="0" xfId="1" applyFont="1" applyAlignment="1" applyProtection="1">
      <alignment horizontal="center"/>
    </xf>
    <xf numFmtId="44" fontId="0" fillId="0" borderId="0" xfId="3" applyFont="1" applyAlignment="1" applyProtection="1">
      <alignment horizontal="center"/>
    </xf>
    <xf numFmtId="167" fontId="0" fillId="0" borderId="2" xfId="3" applyNumberFormat="1" applyFont="1" applyBorder="1" applyProtection="1"/>
    <xf numFmtId="164" fontId="6" fillId="0" borderId="0" xfId="1" applyNumberFormat="1" applyProtection="1"/>
    <xf numFmtId="0" fontId="6" fillId="0" borderId="0" xfId="1" applyAlignment="1" applyProtection="1">
      <alignment horizontal="left"/>
    </xf>
    <xf numFmtId="0" fontId="6" fillId="4" borderId="8" xfId="1" applyFill="1" applyBorder="1" applyProtection="1"/>
    <xf numFmtId="0" fontId="6" fillId="4" borderId="7" xfId="1" applyFill="1" applyBorder="1" applyProtection="1"/>
    <xf numFmtId="164" fontId="3" fillId="4" borderId="6" xfId="1" applyNumberFormat="1" applyFont="1" applyFill="1" applyBorder="1" applyAlignment="1" applyProtection="1">
      <alignment horizontal="center"/>
    </xf>
    <xf numFmtId="0" fontId="6" fillId="4" borderId="6" xfId="1" applyFill="1" applyBorder="1" applyAlignment="1" applyProtection="1">
      <alignment horizontal="center"/>
    </xf>
    <xf numFmtId="0" fontId="6" fillId="4" borderId="6" xfId="1" applyFill="1" applyBorder="1" applyProtection="1"/>
    <xf numFmtId="164" fontId="3" fillId="0" borderId="5" xfId="3" applyNumberFormat="1" applyFont="1" applyBorder="1" applyProtection="1"/>
    <xf numFmtId="164" fontId="6" fillId="0" borderId="2" xfId="1" applyNumberFormat="1" applyBorder="1" applyProtection="1"/>
    <xf numFmtId="0" fontId="5" fillId="0" borderId="0" xfId="1" applyFont="1" applyProtection="1"/>
    <xf numFmtId="0" fontId="35" fillId="0" borderId="0" xfId="1" applyFont="1" applyProtection="1"/>
    <xf numFmtId="167" fontId="6" fillId="0" borderId="2" xfId="1" applyNumberFormat="1" applyBorder="1" applyProtection="1"/>
    <xf numFmtId="166" fontId="6" fillId="0" borderId="0" xfId="1" applyNumberFormat="1" applyProtection="1"/>
    <xf numFmtId="0" fontId="3" fillId="0" borderId="0" xfId="1" applyFont="1" applyAlignment="1" applyProtection="1">
      <alignment horizontal="center"/>
    </xf>
    <xf numFmtId="0" fontId="3" fillId="0" borderId="0" xfId="1" applyFont="1" applyAlignment="1" applyProtection="1">
      <alignment horizontal="left"/>
    </xf>
    <xf numFmtId="3" fontId="6" fillId="0" borderId="2" xfId="1" applyNumberFormat="1" applyBorder="1" applyProtection="1"/>
    <xf numFmtId="171" fontId="0" fillId="0" borderId="2" xfId="3" applyNumberFormat="1" applyFont="1" applyBorder="1" applyProtection="1"/>
    <xf numFmtId="0" fontId="2" fillId="0" borderId="0" xfId="1" applyFont="1" applyAlignment="1" applyProtection="1">
      <alignment horizontal="center"/>
    </xf>
    <xf numFmtId="0" fontId="17" fillId="0" borderId="0" xfId="1" applyFont="1" applyProtection="1"/>
    <xf numFmtId="0" fontId="3" fillId="8" borderId="19" xfId="1" applyFont="1" applyFill="1" applyBorder="1" applyProtection="1"/>
    <xf numFmtId="0" fontId="1" fillId="8" borderId="20" xfId="0" applyFont="1" applyFill="1" applyBorder="1" applyProtection="1"/>
    <xf numFmtId="0" fontId="1" fillId="8" borderId="21" xfId="0" applyFont="1" applyFill="1" applyBorder="1" applyProtection="1"/>
    <xf numFmtId="0" fontId="42" fillId="0" borderId="0" xfId="0" applyFont="1" applyAlignment="1">
      <alignment horizontal="center" vertical="center" wrapText="1"/>
    </xf>
    <xf numFmtId="0" fontId="41" fillId="0" borderId="0" xfId="0" applyFont="1" applyAlignment="1">
      <alignment horizontal="center" vertical="center" wrapText="1"/>
    </xf>
    <xf numFmtId="0" fontId="38" fillId="0" borderId="0" xfId="0" quotePrefix="1" applyFont="1" applyAlignment="1">
      <alignment horizontal="left" vertical="top" wrapText="1" indent="1"/>
    </xf>
    <xf numFmtId="0" fontId="38" fillId="0" borderId="0" xfId="0" applyFont="1" applyAlignment="1">
      <alignment horizontal="left" vertical="top" wrapText="1" indent="1"/>
    </xf>
    <xf numFmtId="0" fontId="8" fillId="0" borderId="0" xfId="0" quotePrefix="1" applyFont="1" applyAlignment="1">
      <alignment horizontal="left" vertical="top" wrapText="1" indent="1"/>
    </xf>
    <xf numFmtId="0" fontId="8" fillId="0" borderId="0" xfId="0" applyFont="1" applyAlignment="1">
      <alignment horizontal="left" vertical="top" wrapText="1" indent="1"/>
    </xf>
    <xf numFmtId="177" fontId="42" fillId="0" borderId="0" xfId="0" applyNumberFormat="1" applyFont="1" applyAlignment="1">
      <alignment horizontal="center" vertical="center"/>
    </xf>
    <xf numFmtId="177" fontId="0" fillId="0" borderId="0" xfId="0" applyNumberFormat="1" applyAlignment="1">
      <alignment horizontal="center" vertical="center"/>
    </xf>
    <xf numFmtId="0" fontId="29" fillId="0" borderId="0" xfId="0" applyFont="1" applyAlignment="1">
      <alignment horizontal="center" vertical="center"/>
    </xf>
    <xf numFmtId="0" fontId="0" fillId="0" borderId="0" xfId="0" applyAlignment="1"/>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center" wrapText="1"/>
    </xf>
    <xf numFmtId="0" fontId="1" fillId="0" borderId="0" xfId="0" applyFont="1" applyAlignment="1">
      <alignment horizontal="center"/>
    </xf>
    <xf numFmtId="0" fontId="36" fillId="8" borderId="10" xfId="0" applyFont="1" applyFill="1" applyBorder="1" applyAlignment="1">
      <alignment horizontal="center" vertical="center"/>
    </xf>
    <xf numFmtId="0" fontId="37" fillId="8" borderId="12" xfId="0" applyFont="1" applyFill="1" applyBorder="1" applyAlignment="1">
      <alignment horizontal="center" vertical="center"/>
    </xf>
    <xf numFmtId="0" fontId="36" fillId="8" borderId="11" xfId="0" applyFont="1" applyFill="1" applyBorder="1" applyAlignment="1">
      <alignment horizontal="center" vertical="center" wrapText="1"/>
    </xf>
    <xf numFmtId="0" fontId="37" fillId="8" borderId="13" xfId="0" applyFont="1" applyFill="1" applyBorder="1" applyAlignment="1">
      <alignment horizontal="center" vertical="center" wrapText="1"/>
    </xf>
    <xf numFmtId="0" fontId="36" fillId="8" borderId="11" xfId="0" applyFont="1" applyFill="1" applyBorder="1" applyAlignment="1">
      <alignment horizontal="center" vertical="center"/>
    </xf>
    <xf numFmtId="0" fontId="37" fillId="8" borderId="13" xfId="0" applyFont="1" applyFill="1" applyBorder="1" applyAlignment="1">
      <alignment horizontal="center" vertical="center"/>
    </xf>
    <xf numFmtId="0" fontId="6" fillId="0" borderId="0" xfId="1" applyAlignment="1" applyProtection="1">
      <alignment horizontal="center"/>
    </xf>
    <xf numFmtId="0" fontId="1" fillId="3" borderId="0" xfId="0" applyFont="1" applyFill="1" applyAlignment="1" applyProtection="1">
      <alignment horizontal="center" vertical="center"/>
    </xf>
    <xf numFmtId="0" fontId="21" fillId="0" borderId="0" xfId="0" applyFont="1" applyAlignment="1" applyProtection="1">
      <alignment horizontal="center" vertical="center"/>
    </xf>
    <xf numFmtId="0" fontId="26" fillId="0" borderId="0" xfId="0" applyFont="1" applyAlignment="1" applyProtection="1">
      <alignment horizontal="center"/>
    </xf>
    <xf numFmtId="0" fontId="18" fillId="0" borderId="0" xfId="0" applyFont="1" applyAlignment="1" applyProtection="1">
      <alignment horizontal="center"/>
    </xf>
    <xf numFmtId="0" fontId="6" fillId="0" borderId="0" xfId="1" applyAlignment="1">
      <alignment horizontal="center"/>
    </xf>
    <xf numFmtId="0" fontId="1" fillId="3" borderId="0" xfId="0" applyFont="1" applyFill="1" applyAlignment="1">
      <alignment horizontal="center" vertical="center"/>
    </xf>
    <xf numFmtId="0" fontId="21" fillId="0" borderId="0" xfId="0" applyFont="1" applyAlignment="1">
      <alignment horizontal="center" vertical="center"/>
    </xf>
    <xf numFmtId="0" fontId="26"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22" fillId="0" borderId="0" xfId="0" applyFont="1" applyAlignment="1">
      <alignment vertical="center"/>
    </xf>
    <xf numFmtId="0" fontId="0" fillId="0" borderId="0" xfId="0"/>
    <xf numFmtId="0" fontId="27" fillId="0" borderId="0" xfId="0" applyFont="1" applyAlignment="1">
      <alignment horizontal="center"/>
    </xf>
  </cellXfs>
  <cellStyles count="9">
    <cellStyle name="Comma 2" xfId="4" xr:uid="{00000000-0005-0000-0000-000000000000}"/>
    <cellStyle name="Currency" xfId="7" builtinId="4"/>
    <cellStyle name="Currency 2" xfId="3" xr:uid="{00000000-0005-0000-0000-000001000000}"/>
    <cellStyle name="Hyperlink" xfId="6" builtinId="8"/>
    <cellStyle name="Hyperlink 2" xfId="2" xr:uid="{00000000-0005-0000-0000-000003000000}"/>
    <cellStyle name="Normal" xfId="0" builtinId="0"/>
    <cellStyle name="Normal 2" xfId="1" xr:uid="{00000000-0005-0000-0000-000005000000}"/>
    <cellStyle name="Normal 2 3 2" xfId="8" xr:uid="{C4355767-EEAB-40FE-8A50-855A1098EA59}"/>
    <cellStyle name="Percent 2" xfId="5" xr:uid="{00000000-0005-0000-0000-000006000000}"/>
  </cellStyles>
  <dxfs count="7">
    <dxf>
      <font>
        <condense val="0"/>
        <extend val="0"/>
        <color indexed="10"/>
      </font>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xdr:colOff>
      <xdr:row>32</xdr:row>
      <xdr:rowOff>252412</xdr:rowOff>
    </xdr:from>
    <xdr:to>
      <xdr:col>0</xdr:col>
      <xdr:colOff>1811904</xdr:colOff>
      <xdr:row>35</xdr:row>
      <xdr:rowOff>12353</xdr:rowOff>
    </xdr:to>
    <xdr:pic>
      <xdr:nvPicPr>
        <xdr:cNvPr id="6" name="Picture 5">
          <a:extLst>
            <a:ext uri="{FF2B5EF4-FFF2-40B4-BE49-F238E27FC236}">
              <a16:creationId xmlns:a16="http://schemas.microsoft.com/office/drawing/2014/main" id="{64B0A5C3-8E8F-49BD-8E2C-FC9E032654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 y="13218318"/>
          <a:ext cx="1754754" cy="907228"/>
        </a:xfrm>
        <a:prstGeom prst="rect">
          <a:avLst/>
        </a:prstGeom>
      </xdr:spPr>
    </xdr:pic>
    <xdr:clientData/>
  </xdr:twoCellAnchor>
  <xdr:twoCellAnchor editAs="oneCell">
    <xdr:from>
      <xdr:col>1</xdr:col>
      <xdr:colOff>714376</xdr:colOff>
      <xdr:row>0</xdr:row>
      <xdr:rowOff>76200</xdr:rowOff>
    </xdr:from>
    <xdr:to>
      <xdr:col>1</xdr:col>
      <xdr:colOff>2152650</xdr:colOff>
      <xdr:row>1</xdr:row>
      <xdr:rowOff>2226</xdr:rowOff>
    </xdr:to>
    <xdr:pic>
      <xdr:nvPicPr>
        <xdr:cNvPr id="7" name="Picture 6">
          <a:extLst>
            <a:ext uri="{FF2B5EF4-FFF2-40B4-BE49-F238E27FC236}">
              <a16:creationId xmlns:a16="http://schemas.microsoft.com/office/drawing/2014/main" id="{40546247-EF87-2938-09E0-AEF701F596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76626" y="76200"/>
          <a:ext cx="1428749" cy="1416689"/>
        </a:xfrm>
        <a:prstGeom prst="rect">
          <a:avLst/>
        </a:prstGeom>
      </xdr:spPr>
    </xdr:pic>
    <xdr:clientData/>
  </xdr:twoCellAnchor>
  <xdr:twoCellAnchor editAs="oneCell">
    <xdr:from>
      <xdr:col>0</xdr:col>
      <xdr:colOff>214312</xdr:colOff>
      <xdr:row>1</xdr:row>
      <xdr:rowOff>273844</xdr:rowOff>
    </xdr:from>
    <xdr:to>
      <xdr:col>2</xdr:col>
      <xdr:colOff>2458402</xdr:colOff>
      <xdr:row>1</xdr:row>
      <xdr:rowOff>1659576</xdr:rowOff>
    </xdr:to>
    <xdr:pic>
      <xdr:nvPicPr>
        <xdr:cNvPr id="3" name="Picture 2">
          <a:extLst>
            <a:ext uri="{FF2B5EF4-FFF2-40B4-BE49-F238E27FC236}">
              <a16:creationId xmlns:a16="http://schemas.microsoft.com/office/drawing/2014/main" id="{0E8F5DB6-88D5-0354-7105-44F4F00B6C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4312" y="1774032"/>
          <a:ext cx="7772400" cy="13971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476250</xdr:colOff>
      <xdr:row>0</xdr:row>
      <xdr:rowOff>85725</xdr:rowOff>
    </xdr:from>
    <xdr:to>
      <xdr:col>4</xdr:col>
      <xdr:colOff>205989</xdr:colOff>
      <xdr:row>0</xdr:row>
      <xdr:rowOff>1007875</xdr:rowOff>
    </xdr:to>
    <xdr:pic>
      <xdr:nvPicPr>
        <xdr:cNvPr id="4" name="Picture 3">
          <a:extLst>
            <a:ext uri="{FF2B5EF4-FFF2-40B4-BE49-F238E27FC236}">
              <a16:creationId xmlns:a16="http://schemas.microsoft.com/office/drawing/2014/main" id="{1D7E244C-5E47-BCDF-687D-38037211F0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0" y="85725"/>
          <a:ext cx="1781424" cy="933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xdr:colOff>
      <xdr:row>0</xdr:row>
      <xdr:rowOff>104775</xdr:rowOff>
    </xdr:from>
    <xdr:to>
      <xdr:col>4</xdr:col>
      <xdr:colOff>362199</xdr:colOff>
      <xdr:row>0</xdr:row>
      <xdr:rowOff>1038355</xdr:rowOff>
    </xdr:to>
    <xdr:pic>
      <xdr:nvPicPr>
        <xdr:cNvPr id="4" name="Picture 3">
          <a:extLst>
            <a:ext uri="{FF2B5EF4-FFF2-40B4-BE49-F238E27FC236}">
              <a16:creationId xmlns:a16="http://schemas.microsoft.com/office/drawing/2014/main" id="{DBF32E32-3E77-DD0E-9F1E-8F30BE849A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0" y="104775"/>
          <a:ext cx="1781424" cy="933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571500</xdr:colOff>
      <xdr:row>0</xdr:row>
      <xdr:rowOff>95250</xdr:rowOff>
    </xdr:from>
    <xdr:to>
      <xdr:col>4</xdr:col>
      <xdr:colOff>333624</xdr:colOff>
      <xdr:row>0</xdr:row>
      <xdr:rowOff>1028830</xdr:rowOff>
    </xdr:to>
    <xdr:pic>
      <xdr:nvPicPr>
        <xdr:cNvPr id="4" name="Picture 3">
          <a:extLst>
            <a:ext uri="{FF2B5EF4-FFF2-40B4-BE49-F238E27FC236}">
              <a16:creationId xmlns:a16="http://schemas.microsoft.com/office/drawing/2014/main" id="{ABF5B51F-8241-F7D1-DD26-5F111C14F4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9325" y="95250"/>
          <a:ext cx="1781424" cy="933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485775</xdr:colOff>
      <xdr:row>0</xdr:row>
      <xdr:rowOff>85725</xdr:rowOff>
    </xdr:from>
    <xdr:to>
      <xdr:col>4</xdr:col>
      <xdr:colOff>95499</xdr:colOff>
      <xdr:row>1</xdr:row>
      <xdr:rowOff>130</xdr:rowOff>
    </xdr:to>
    <xdr:pic>
      <xdr:nvPicPr>
        <xdr:cNvPr id="4" name="Picture 3">
          <a:extLst>
            <a:ext uri="{FF2B5EF4-FFF2-40B4-BE49-F238E27FC236}">
              <a16:creationId xmlns:a16="http://schemas.microsoft.com/office/drawing/2014/main" id="{6C07386B-74F8-7CB0-93F7-76FAC4A507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7925" y="85725"/>
          <a:ext cx="1781424" cy="933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457200</xdr:colOff>
      <xdr:row>0</xdr:row>
      <xdr:rowOff>76200</xdr:rowOff>
    </xdr:from>
    <xdr:to>
      <xdr:col>4</xdr:col>
      <xdr:colOff>143124</xdr:colOff>
      <xdr:row>0</xdr:row>
      <xdr:rowOff>1009780</xdr:rowOff>
    </xdr:to>
    <xdr:pic>
      <xdr:nvPicPr>
        <xdr:cNvPr id="4" name="Picture 3">
          <a:extLst>
            <a:ext uri="{FF2B5EF4-FFF2-40B4-BE49-F238E27FC236}">
              <a16:creationId xmlns:a16="http://schemas.microsoft.com/office/drawing/2014/main" id="{67A8FE4F-BBD6-16A4-FCE3-D1B822AEA3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1725" y="76200"/>
          <a:ext cx="1781424" cy="933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M&amp;A\Tax%20Rates\2021\platinum1aa2020-Tom's%20Insurance%20Calc%20Program%20for%20Tax%20Rates%20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DV14/OneDrive/Desktop/platinum1aa2019%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o97w"/>
      <sheetName val="Review"/>
      <sheetName val="Tutt's info"/>
      <sheetName val="Taxlog 2021"/>
      <sheetName val="Print Sheets"/>
      <sheetName val="SD RE"/>
      <sheetName val="SD RE &amp; PP"/>
      <sheetName val="PPWS"/>
      <sheetName val="PPWS Manual Calc"/>
      <sheetName val="County Data 2021"/>
      <sheetName val="DB"/>
      <sheetName val="Data Table"/>
      <sheetName val="Checkit"/>
      <sheetName val="Sheet4"/>
      <sheetName val="Sheet5"/>
      <sheetName val="Sheet6"/>
      <sheetName val="Taxo97d"/>
      <sheetName val="Soil Adj"/>
      <sheetName val="Taxlog 2020"/>
      <sheetName val="Taxlog 2019 "/>
      <sheetName val="Taxlog 2018"/>
      <sheetName val="Taxlog 2017"/>
      <sheetName val="Taxlog 2016"/>
      <sheetName val="Taxlog 2015"/>
      <sheetName val="Taxlog2014"/>
      <sheetName val="Taxlog2013"/>
      <sheetName val="Taxlog2012"/>
      <sheetName val="Taxlog 2011"/>
      <sheetName val="Taxlog 2010"/>
      <sheetName val="Taxlog 2009"/>
      <sheetName val="Taxlog 2008"/>
      <sheetName val="Taxlog 2007"/>
      <sheetName val="Taxlog 2006"/>
      <sheetName val="Taxlog 2005"/>
      <sheetName val="Taxlog 2003"/>
      <sheetName val="Taxlog 2002"/>
      <sheetName val="Taxlog 2001"/>
      <sheetName val="Taxlog 2000"/>
      <sheetName val="Taxlog 99"/>
      <sheetName val="Taxlog 98"/>
      <sheetName val="County Data 2020"/>
      <sheetName val="County Data 2019"/>
      <sheetName val="County Data 2018"/>
      <sheetName val="County Data 2017"/>
      <sheetName val="County Data 2016"/>
      <sheetName val="County Data 2015"/>
      <sheetName val="County Data 2014"/>
      <sheetName val="County Data 2013"/>
      <sheetName val="County Data 2012"/>
      <sheetName val="County Data 2011"/>
      <sheetName val="County Data 2010"/>
      <sheetName val="County Data 2009"/>
      <sheetName val="County Data 2008"/>
      <sheetName val="County Data 2007"/>
      <sheetName val="County Data 2006"/>
      <sheetName val="County Data 2005"/>
      <sheetName val="County Data 2003"/>
      <sheetName val="County Data 2002"/>
      <sheetName val="Co. Data 2001"/>
      <sheetName val="Co. Data 2000"/>
      <sheetName val="Co. Data 99"/>
      <sheetName val="Co. Data 98"/>
      <sheetName val="Co. Data 97"/>
      <sheetName val="Sheet2"/>
      <sheetName val="Sheet2 (2)"/>
      <sheetName val="Stat Max Calc"/>
      <sheetName val="Module1"/>
      <sheetName val="Module2"/>
      <sheetName val="Module3"/>
      <sheetName val="Module4"/>
      <sheetName val="Module5"/>
      <sheetName val="Module6"/>
      <sheetName val="Module7"/>
      <sheetName val="Sheet3"/>
      <sheetName val="Sheet1"/>
      <sheetName val="Sheet7"/>
      <sheetName val="Martin "/>
      <sheetName val="Sheet8"/>
    </sheetNames>
    <sheetDataSet>
      <sheetData sheetId="0">
        <row r="49">
          <cell r="C49">
            <v>0</v>
          </cell>
        </row>
        <row r="72">
          <cell r="C72" t="e">
            <v>#DIV/0!</v>
          </cell>
        </row>
        <row r="76">
          <cell r="C76"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o97w"/>
      <sheetName val="Data Table"/>
      <sheetName val="Review"/>
      <sheetName val="Checkit"/>
      <sheetName val="Tutt's info"/>
      <sheetName val="Print Sheets"/>
      <sheetName val="Sheet4"/>
      <sheetName val="Sheet5"/>
      <sheetName val="Sheet6"/>
      <sheetName val="Taxo97d"/>
      <sheetName val="DB"/>
      <sheetName val="Soil Adj"/>
      <sheetName val="Taxlog 2019"/>
      <sheetName val="Taxlog 2018"/>
      <sheetName val="Taxlog 2017"/>
      <sheetName val="Taxlog 2016"/>
      <sheetName val="Taxlog 2015"/>
      <sheetName val="Taxlog2014"/>
      <sheetName val="Taxlog2013"/>
      <sheetName val="Taxlog2012"/>
      <sheetName val="Taxlog 2011"/>
      <sheetName val="Taxlog 2010"/>
      <sheetName val="Taxlog 2009"/>
      <sheetName val="Taxlog 2008"/>
      <sheetName val="Taxlog 2007"/>
      <sheetName val="Taxlog 2006"/>
      <sheetName val="Taxlog 2005"/>
      <sheetName val="Taxlog 2003"/>
      <sheetName val="Taxlog 2002"/>
      <sheetName val="Taxlog 2001"/>
      <sheetName val="Taxlog 2000"/>
      <sheetName val="Taxlog 99"/>
      <sheetName val="Taxlog 98"/>
      <sheetName val="County Data 2019"/>
      <sheetName val="County Data 2018"/>
      <sheetName val="County Data 2017"/>
      <sheetName val="County Data 2016"/>
      <sheetName val="County Data 2015"/>
      <sheetName val="County Data 2014"/>
      <sheetName val="County Data 2013"/>
      <sheetName val="County Data 2012"/>
      <sheetName val="County Data 2011"/>
      <sheetName val="County Data 2010"/>
      <sheetName val="County Data 2009"/>
      <sheetName val="County Data 2008"/>
      <sheetName val="County Data 2007"/>
      <sheetName val="County Data 2006"/>
      <sheetName val="County Data 2005"/>
      <sheetName val="County Data 2003"/>
      <sheetName val="County Data 2002"/>
      <sheetName val="Co. Data 2001"/>
      <sheetName val="Co. Data 2000"/>
      <sheetName val="Co. Data 99"/>
      <sheetName val="Co. Data 98"/>
      <sheetName val="Co. Data 97"/>
      <sheetName val="Sheet2"/>
      <sheetName val="Sheet2 (2)"/>
      <sheetName val="PPWS"/>
      <sheetName val="PPWS Manual Calc"/>
      <sheetName val="Stat Max Calc"/>
      <sheetName val="Module1"/>
      <sheetName val="Module2"/>
      <sheetName val="Module3"/>
      <sheetName val="Module4"/>
      <sheetName val="Module5"/>
      <sheetName val="Module6"/>
      <sheetName val="Module7"/>
      <sheetName val="SD RE"/>
      <sheetName val="SD RE &amp; PP"/>
      <sheetName val="Sheet3"/>
      <sheetName val="Sheet1"/>
      <sheetName val="Sheet7"/>
      <sheetName val="Martin "/>
    </sheetNames>
    <sheetDataSet>
      <sheetData sheetId="0">
        <row r="2">
          <cell r="C2" t="str">
            <v>Fiscal Court</v>
          </cell>
        </row>
      </sheetData>
      <sheetData sheetId="1" refreshError="1"/>
      <sheetData sheetId="2">
        <row r="8">
          <cell r="A8">
            <v>2018</v>
          </cell>
          <cell r="G8" t="str">
            <v>2019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dlg-CSD@ky.gov"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J65"/>
  <sheetViews>
    <sheetView showGridLines="0" topLeftCell="A3" zoomScale="110" zoomScaleNormal="110" workbookViewId="0">
      <selection activeCell="D3" sqref="D3"/>
    </sheetView>
  </sheetViews>
  <sheetFormatPr defaultColWidth="8.85546875" defaultRowHeight="12.75" x14ac:dyDescent="0.2"/>
  <cols>
    <col min="1" max="3" width="8.85546875" style="1"/>
    <col min="4" max="4" width="18.5703125" style="1" customWidth="1"/>
    <col min="5" max="5" width="7.140625" style="1" customWidth="1"/>
    <col min="6" max="6" width="20.28515625" style="1" customWidth="1"/>
    <col min="7" max="7" width="7.140625" style="1" customWidth="1"/>
    <col min="8" max="8" width="18.5703125" style="1" customWidth="1"/>
    <col min="9" max="16384" width="8.85546875" style="1"/>
  </cols>
  <sheetData>
    <row r="1" spans="1:9" ht="13.5" thickBot="1" x14ac:dyDescent="0.25">
      <c r="A1" s="2" t="s">
        <v>122</v>
      </c>
      <c r="D1" s="92">
        <v>2025</v>
      </c>
      <c r="E1" s="10"/>
      <c r="F1" s="10"/>
      <c r="H1" s="92"/>
      <c r="I1" s="2"/>
    </row>
    <row r="2" spans="1:9" ht="13.5" thickBot="1" x14ac:dyDescent="0.25">
      <c r="D2" s="93"/>
      <c r="E2" s="10"/>
      <c r="F2" s="10"/>
      <c r="H2" s="9" t="s">
        <v>1</v>
      </c>
      <c r="I2" s="2"/>
    </row>
    <row r="3" spans="1:9" ht="13.5" thickBot="1" x14ac:dyDescent="0.25">
      <c r="A3" s="2" t="s">
        <v>119</v>
      </c>
      <c r="D3" s="107"/>
    </row>
    <row r="4" spans="1:9" ht="13.5" thickBot="1" x14ac:dyDescent="0.25">
      <c r="H4" s="9"/>
    </row>
    <row r="5" spans="1:9" ht="13.5" thickBot="1" x14ac:dyDescent="0.25">
      <c r="A5" s="2" t="s">
        <v>2</v>
      </c>
      <c r="D5" s="92"/>
      <c r="H5" s="9"/>
    </row>
    <row r="6" spans="1:9" ht="13.5" thickBot="1" x14ac:dyDescent="0.25">
      <c r="H6" s="9"/>
    </row>
    <row r="7" spans="1:9" ht="15.75" thickBot="1" x14ac:dyDescent="0.3">
      <c r="A7" s="2" t="s">
        <v>3</v>
      </c>
      <c r="D7" s="179"/>
      <c r="E7" s="180"/>
      <c r="F7" s="180"/>
      <c r="G7" s="180"/>
      <c r="H7" s="181"/>
    </row>
    <row r="8" spans="1:9" ht="13.5" thickBot="1" x14ac:dyDescent="0.25">
      <c r="H8" s="9"/>
    </row>
    <row r="9" spans="1:9" ht="15.75" thickBot="1" x14ac:dyDescent="0.3">
      <c r="A9" s="2" t="s">
        <v>4</v>
      </c>
      <c r="D9" s="106"/>
      <c r="F9" s="91"/>
      <c r="H9" s="9"/>
    </row>
    <row r="10" spans="1:9" x14ac:dyDescent="0.2">
      <c r="H10" s="9"/>
    </row>
    <row r="11" spans="1:9" ht="13.5" thickBot="1" x14ac:dyDescent="0.25">
      <c r="A11" s="2" t="s">
        <v>5</v>
      </c>
      <c r="H11" s="9"/>
    </row>
    <row r="12" spans="1:9" ht="14.25" thickTop="1" thickBot="1" x14ac:dyDescent="0.25">
      <c r="A12" s="2" t="s">
        <v>6</v>
      </c>
      <c r="D12" s="106"/>
      <c r="F12" s="114"/>
      <c r="G12" s="112" t="s">
        <v>124</v>
      </c>
      <c r="H12" s="113"/>
    </row>
    <row r="13" spans="1:9" ht="15.75" thickBot="1" x14ac:dyDescent="0.3">
      <c r="A13" s="2" t="s">
        <v>7</v>
      </c>
      <c r="D13" s="106"/>
      <c r="F13" s="99"/>
      <c r="H13" s="9"/>
    </row>
    <row r="14" spans="1:9" x14ac:dyDescent="0.2">
      <c r="H14" s="9"/>
    </row>
    <row r="15" spans="1:9" x14ac:dyDescent="0.2">
      <c r="H15" s="9"/>
    </row>
    <row r="16" spans="1:9" ht="13.5" thickBot="1" x14ac:dyDescent="0.25">
      <c r="H16" s="9"/>
    </row>
    <row r="17" spans="1:10" ht="13.5" thickBot="1" x14ac:dyDescent="0.25">
      <c r="A17" s="2" t="str">
        <f>"A. " &amp; D1-1 &amp; " Assessment"</f>
        <v>A. 2024 Assessment</v>
      </c>
      <c r="B17" s="2"/>
      <c r="C17" s="2"/>
      <c r="D17" s="2"/>
      <c r="H17" s="95"/>
    </row>
    <row r="18" spans="1:10" x14ac:dyDescent="0.2">
      <c r="A18" s="2"/>
      <c r="B18" s="2" t="s">
        <v>8</v>
      </c>
      <c r="C18" s="2"/>
      <c r="D18" s="2">
        <f>D1</f>
        <v>2025</v>
      </c>
      <c r="E18" s="4"/>
      <c r="H18" s="81"/>
    </row>
    <row r="19" spans="1:10" ht="13.5" thickBot="1" x14ac:dyDescent="0.25">
      <c r="A19" s="2"/>
      <c r="B19" s="2"/>
      <c r="C19" s="2"/>
      <c r="D19" s="2"/>
      <c r="H19" s="81"/>
    </row>
    <row r="20" spans="1:10" ht="13.5" thickBot="1" x14ac:dyDescent="0.25">
      <c r="A20" s="2" t="str">
        <f>"B. " &amp; D1 &amp; " homestead exempt"</f>
        <v>B. 2025 homestead exempt</v>
      </c>
      <c r="B20" s="2"/>
      <c r="C20" s="2"/>
      <c r="D20" s="2">
        <f>D1-1</f>
        <v>2024</v>
      </c>
      <c r="E20" s="4"/>
      <c r="H20" s="95"/>
    </row>
    <row r="21" spans="1:10" x14ac:dyDescent="0.2">
      <c r="A21" s="2"/>
      <c r="B21" s="2"/>
      <c r="C21" s="2"/>
      <c r="D21" s="2"/>
      <c r="H21" s="81"/>
    </row>
    <row r="22" spans="1:10" x14ac:dyDescent="0.2">
      <c r="A22" s="2" t="s">
        <v>9</v>
      </c>
      <c r="B22" s="2"/>
      <c r="C22" s="2"/>
      <c r="D22" s="2"/>
      <c r="H22" s="82"/>
    </row>
    <row r="23" spans="1:10" x14ac:dyDescent="0.2">
      <c r="A23" s="2"/>
      <c r="B23" s="2"/>
      <c r="C23" s="2"/>
      <c r="D23" s="2"/>
      <c r="H23" s="81"/>
    </row>
    <row r="24" spans="1:10" x14ac:dyDescent="0.2">
      <c r="A24" s="2" t="str">
        <f>"D. " &amp; D1 &amp; " Net Growth"</f>
        <v>D. 2025 Net Growth</v>
      </c>
      <c r="B24" s="2"/>
      <c r="C24" s="2"/>
      <c r="D24" s="2"/>
      <c r="H24" s="82"/>
    </row>
    <row r="25" spans="1:10" x14ac:dyDescent="0.2">
      <c r="A25" s="2"/>
      <c r="B25" s="2"/>
      <c r="C25" s="2"/>
      <c r="D25" s="2"/>
      <c r="H25" s="81"/>
    </row>
    <row r="26" spans="1:10" x14ac:dyDescent="0.2">
      <c r="A26" s="2" t="str">
        <f>"E. " &amp; D1 &amp; " Total valuation of Adjusted Property"</f>
        <v>E. 2025 Total valuation of Adjusted Property</v>
      </c>
      <c r="B26" s="2"/>
      <c r="C26" s="2"/>
      <c r="D26" s="2"/>
      <c r="H26" s="81"/>
    </row>
    <row r="27" spans="1:10" x14ac:dyDescent="0.2">
      <c r="H27" s="81"/>
    </row>
    <row r="28" spans="1:10" x14ac:dyDescent="0.2">
      <c r="D28" s="8" t="s">
        <v>10</v>
      </c>
      <c r="E28" s="8"/>
      <c r="F28" s="8" t="s">
        <v>11</v>
      </c>
      <c r="G28" s="8"/>
      <c r="H28" s="83" t="s">
        <v>12</v>
      </c>
      <c r="J28" s="5"/>
    </row>
    <row r="29" spans="1:10" x14ac:dyDescent="0.2">
      <c r="D29" s="8" t="str">
        <f>D1-1 &amp; " tax"</f>
        <v>2024 tax</v>
      </c>
      <c r="E29" s="8"/>
      <c r="F29" s="8"/>
      <c r="G29" s="8"/>
      <c r="H29" s="83" t="str">
        <f>D1 &amp; " tax"</f>
        <v>2025 tax</v>
      </c>
    </row>
    <row r="30" spans="1:10" ht="13.5" thickBot="1" x14ac:dyDescent="0.25">
      <c r="H30" s="81"/>
    </row>
    <row r="31" spans="1:10" ht="13.5" thickBot="1" x14ac:dyDescent="0.25">
      <c r="A31" s="2" t="s">
        <v>13</v>
      </c>
      <c r="B31" s="2"/>
      <c r="C31" s="2"/>
      <c r="D31" s="95"/>
      <c r="E31" s="81"/>
      <c r="F31" s="96">
        <f>(H31-D31)+H20</f>
        <v>0</v>
      </c>
      <c r="G31" s="5"/>
      <c r="H31" s="95"/>
      <c r="I31" s="5"/>
    </row>
    <row r="32" spans="1:10" ht="13.5" thickBot="1" x14ac:dyDescent="0.25">
      <c r="A32" s="2"/>
      <c r="B32" s="2"/>
      <c r="C32" s="2"/>
      <c r="D32" s="81"/>
      <c r="E32" s="81"/>
      <c r="F32" s="81"/>
      <c r="G32" s="5"/>
      <c r="H32" s="81"/>
      <c r="I32" s="5"/>
    </row>
    <row r="33" spans="1:10" ht="15.75" thickBot="1" x14ac:dyDescent="0.3">
      <c r="A33" s="2" t="s">
        <v>14</v>
      </c>
      <c r="B33" s="2"/>
      <c r="C33" s="2"/>
      <c r="D33" s="95"/>
      <c r="E33" s="81"/>
      <c r="F33" s="97">
        <f>H33-D33</f>
        <v>0</v>
      </c>
      <c r="G33" s="5"/>
      <c r="H33" s="95"/>
      <c r="I33" s="5"/>
    </row>
    <row r="34" spans="1:10" ht="13.5" thickBot="1" x14ac:dyDescent="0.25">
      <c r="A34" s="2"/>
      <c r="B34" s="2"/>
      <c r="C34" s="2"/>
      <c r="D34" s="81"/>
      <c r="E34" s="81"/>
      <c r="F34" s="81"/>
      <c r="G34" s="5"/>
      <c r="H34" s="81"/>
      <c r="I34" s="5"/>
    </row>
    <row r="35" spans="1:10" ht="15.75" thickBot="1" x14ac:dyDescent="0.3">
      <c r="A35" s="2" t="s">
        <v>15</v>
      </c>
      <c r="B35" s="2"/>
      <c r="C35" s="2"/>
      <c r="D35" s="95"/>
      <c r="E35" s="81"/>
      <c r="F35" s="97">
        <f>H35-D35</f>
        <v>0</v>
      </c>
      <c r="G35" s="5"/>
      <c r="H35" s="95"/>
      <c r="I35" s="5"/>
    </row>
    <row r="36" spans="1:10" x14ac:dyDescent="0.2">
      <c r="A36" s="2" t="s">
        <v>16</v>
      </c>
      <c r="B36" s="2"/>
      <c r="C36" s="2"/>
      <c r="D36" s="82"/>
      <c r="E36" s="81"/>
      <c r="F36" s="85"/>
      <c r="G36" s="5"/>
      <c r="H36" s="82"/>
      <c r="I36" s="5"/>
    </row>
    <row r="37" spans="1:10" ht="13.5" thickBot="1" x14ac:dyDescent="0.25">
      <c r="A37" s="2"/>
      <c r="B37" s="2"/>
      <c r="C37" s="2"/>
      <c r="D37" s="81"/>
      <c r="E37" s="81"/>
      <c r="F37" s="81"/>
      <c r="G37" s="5"/>
      <c r="H37" s="81"/>
      <c r="I37" s="5"/>
    </row>
    <row r="38" spans="1:10" ht="15.75" thickBot="1" x14ac:dyDescent="0.3">
      <c r="A38" s="2" t="s">
        <v>17</v>
      </c>
      <c r="B38" s="2"/>
      <c r="C38" s="2"/>
      <c r="D38" s="95"/>
      <c r="E38" s="81"/>
      <c r="F38" s="97">
        <f>H38-D38</f>
        <v>0</v>
      </c>
      <c r="G38" s="5"/>
      <c r="H38" s="95"/>
      <c r="I38" s="5"/>
    </row>
    <row r="39" spans="1:10" x14ac:dyDescent="0.2">
      <c r="A39" s="2" t="s">
        <v>18</v>
      </c>
      <c r="B39" s="2"/>
      <c r="C39" s="2"/>
      <c r="D39" s="82"/>
      <c r="E39" s="81"/>
      <c r="F39" s="85"/>
      <c r="G39" s="5"/>
      <c r="H39" s="82"/>
      <c r="I39" s="5"/>
    </row>
    <row r="40" spans="1:10" ht="13.5" thickBot="1" x14ac:dyDescent="0.25">
      <c r="A40" s="2"/>
      <c r="B40" s="2"/>
      <c r="C40" s="2"/>
      <c r="D40" s="81"/>
      <c r="E40" s="81"/>
      <c r="F40" s="81"/>
      <c r="G40" s="5"/>
      <c r="H40" s="81"/>
      <c r="I40" s="5"/>
    </row>
    <row r="41" spans="1:10" ht="15.75" thickBot="1" x14ac:dyDescent="0.3">
      <c r="A41" s="2" t="s">
        <v>19</v>
      </c>
      <c r="B41" s="2"/>
      <c r="C41" s="2"/>
      <c r="D41" s="95"/>
      <c r="E41" s="81"/>
      <c r="F41" s="97">
        <f>H41-D41</f>
        <v>0</v>
      </c>
      <c r="G41" s="5"/>
      <c r="H41" s="95"/>
      <c r="I41" s="5"/>
      <c r="J41" s="90"/>
    </row>
    <row r="42" spans="1:10" x14ac:dyDescent="0.2">
      <c r="A42" s="2"/>
      <c r="B42" s="2"/>
      <c r="C42" s="2"/>
      <c r="D42" s="81"/>
      <c r="E42" s="81"/>
      <c r="F42" s="81"/>
      <c r="G42" s="5"/>
      <c r="H42" s="81"/>
      <c r="I42" s="5"/>
    </row>
    <row r="43" spans="1:10" x14ac:dyDescent="0.2">
      <c r="A43" s="2" t="s">
        <v>20</v>
      </c>
      <c r="B43" s="2"/>
      <c r="C43" s="2"/>
      <c r="D43" s="82"/>
      <c r="E43" s="81"/>
      <c r="F43" s="82"/>
      <c r="G43" s="5"/>
      <c r="H43" s="82"/>
      <c r="I43" s="5"/>
    </row>
    <row r="44" spans="1:10" x14ac:dyDescent="0.2">
      <c r="A44" s="2"/>
      <c r="B44" s="2"/>
      <c r="C44" s="2"/>
      <c r="D44" s="81"/>
      <c r="E44" s="81"/>
      <c r="F44" s="81"/>
      <c r="G44" s="5"/>
      <c r="H44" s="81"/>
      <c r="I44" s="5"/>
    </row>
    <row r="45" spans="1:10" x14ac:dyDescent="0.2">
      <c r="A45" s="2" t="s">
        <v>21</v>
      </c>
      <c r="B45" s="2"/>
      <c r="C45" s="2"/>
      <c r="D45" s="82"/>
      <c r="E45" s="81"/>
      <c r="F45" s="82"/>
      <c r="G45" s="5"/>
      <c r="H45" s="82"/>
      <c r="I45" s="5"/>
    </row>
    <row r="46" spans="1:10" ht="13.5" thickBot="1" x14ac:dyDescent="0.25">
      <c r="A46" s="2"/>
      <c r="B46" s="2"/>
      <c r="C46" s="2"/>
      <c r="D46" s="81"/>
      <c r="E46" s="81"/>
      <c r="F46" s="81"/>
      <c r="G46" s="5"/>
      <c r="H46" s="81"/>
      <c r="I46" s="5"/>
    </row>
    <row r="47" spans="1:10" ht="13.5" thickBot="1" x14ac:dyDescent="0.25">
      <c r="A47" s="2" t="s">
        <v>22</v>
      </c>
      <c r="B47" s="2"/>
      <c r="C47" s="2"/>
      <c r="D47" s="82"/>
      <c r="E47" s="81"/>
      <c r="F47" s="82"/>
      <c r="G47" s="5"/>
      <c r="H47" s="95"/>
      <c r="I47" s="5"/>
    </row>
    <row r="48" spans="1:10" ht="13.5" thickBot="1" x14ac:dyDescent="0.25">
      <c r="A48" s="2"/>
      <c r="B48" s="2"/>
      <c r="C48" s="2"/>
      <c r="D48" s="81"/>
      <c r="E48" s="81"/>
      <c r="F48" s="81"/>
      <c r="G48" s="5"/>
      <c r="H48" s="81"/>
      <c r="I48" s="5"/>
    </row>
    <row r="49" spans="1:9" ht="13.5" thickBot="1" x14ac:dyDescent="0.25">
      <c r="A49" s="2" t="s">
        <v>23</v>
      </c>
      <c r="B49" s="2"/>
      <c r="C49" s="2"/>
      <c r="D49" s="82"/>
      <c r="E49" s="81"/>
      <c r="F49" s="82"/>
      <c r="G49" s="5"/>
      <c r="H49" s="95"/>
      <c r="I49" s="5"/>
    </row>
    <row r="50" spans="1:9" ht="13.5" thickBot="1" x14ac:dyDescent="0.25">
      <c r="A50" s="7"/>
      <c r="B50" s="7"/>
      <c r="C50" s="7"/>
      <c r="D50" s="84"/>
      <c r="E50" s="84"/>
      <c r="F50" s="84"/>
      <c r="G50" s="6"/>
      <c r="H50" s="84"/>
      <c r="I50" s="5"/>
    </row>
    <row r="51" spans="1:9" ht="13.5" thickBot="1" x14ac:dyDescent="0.25">
      <c r="A51" s="2" t="s">
        <v>24</v>
      </c>
      <c r="B51" s="2"/>
      <c r="C51" s="2"/>
      <c r="D51" s="89"/>
      <c r="E51" s="81"/>
      <c r="F51" s="81"/>
      <c r="G51" s="5"/>
      <c r="H51" s="95"/>
      <c r="I51" s="5"/>
    </row>
    <row r="52" spans="1:9" ht="13.5" thickBot="1" x14ac:dyDescent="0.25">
      <c r="A52" s="2"/>
      <c r="B52" s="2" t="s">
        <v>25</v>
      </c>
      <c r="C52" s="2"/>
      <c r="D52" s="81"/>
      <c r="E52" s="81"/>
      <c r="F52" s="81"/>
      <c r="G52" s="5"/>
      <c r="H52" s="98">
        <f>+F35</f>
        <v>0</v>
      </c>
      <c r="I52" s="5"/>
    </row>
    <row r="53" spans="1:9" x14ac:dyDescent="0.2">
      <c r="A53" s="2"/>
      <c r="B53" s="2"/>
      <c r="C53" s="2"/>
      <c r="D53" s="81"/>
      <c r="E53" s="81"/>
      <c r="F53" s="81"/>
      <c r="H53" s="81"/>
    </row>
    <row r="54" spans="1:9" x14ac:dyDescent="0.2">
      <c r="A54" s="2" t="s">
        <v>26</v>
      </c>
      <c r="B54" s="2"/>
      <c r="C54" s="2"/>
      <c r="D54" s="81"/>
      <c r="E54" s="81"/>
      <c r="F54" s="81"/>
      <c r="H54" s="82"/>
    </row>
    <row r="55" spans="1:9" x14ac:dyDescent="0.2">
      <c r="A55" s="2" t="s">
        <v>27</v>
      </c>
      <c r="B55" s="2"/>
      <c r="C55" s="2"/>
      <c r="D55" s="81"/>
      <c r="E55" s="81"/>
      <c r="F55" s="81"/>
      <c r="H55" s="85"/>
    </row>
    <row r="56" spans="1:9" x14ac:dyDescent="0.2">
      <c r="A56" s="2" t="s">
        <v>28</v>
      </c>
      <c r="B56" s="2"/>
      <c r="C56" s="2"/>
      <c r="D56" s="81"/>
      <c r="E56" s="81"/>
      <c r="F56" s="81"/>
      <c r="H56" s="86"/>
    </row>
    <row r="57" spans="1:9" x14ac:dyDescent="0.2">
      <c r="A57" s="2"/>
      <c r="B57" s="2"/>
      <c r="C57" s="2"/>
      <c r="D57" s="81"/>
      <c r="E57" s="81"/>
      <c r="F57" s="81"/>
      <c r="H57" s="87"/>
    </row>
    <row r="58" spans="1:9" x14ac:dyDescent="0.2">
      <c r="A58" s="2" t="s">
        <v>29</v>
      </c>
      <c r="B58" s="2"/>
      <c r="C58" s="2"/>
      <c r="D58" s="81"/>
      <c r="E58" s="81"/>
      <c r="F58" s="81"/>
      <c r="H58" s="88"/>
    </row>
    <row r="59" spans="1:9" x14ac:dyDescent="0.2">
      <c r="A59" s="2" t="s">
        <v>30</v>
      </c>
      <c r="B59" s="2"/>
      <c r="C59" s="2"/>
      <c r="D59" s="81"/>
      <c r="E59" s="81"/>
      <c r="F59" s="81"/>
      <c r="H59" s="86"/>
    </row>
    <row r="60" spans="1:9" x14ac:dyDescent="0.2">
      <c r="A60" s="2" t="s">
        <v>31</v>
      </c>
      <c r="B60" s="2"/>
      <c r="C60" s="2"/>
      <c r="D60" s="81"/>
      <c r="E60" s="81"/>
      <c r="F60" s="81"/>
      <c r="H60" s="86"/>
    </row>
    <row r="61" spans="1:9" x14ac:dyDescent="0.2">
      <c r="A61" s="2"/>
      <c r="B61" s="2"/>
      <c r="C61" s="2"/>
      <c r="D61" s="81"/>
      <c r="E61" s="81"/>
      <c r="F61" s="81"/>
      <c r="H61" s="87"/>
    </row>
    <row r="62" spans="1:9" x14ac:dyDescent="0.2">
      <c r="A62" s="2" t="str">
        <f>D1-1 &amp;" R.E. Exon"</f>
        <v>2024 R.E. Exon</v>
      </c>
      <c r="B62" s="2"/>
      <c r="C62" s="2"/>
      <c r="D62" s="81"/>
      <c r="E62" s="81"/>
      <c r="F62" s="81"/>
      <c r="H62" s="88"/>
    </row>
    <row r="63" spans="1:9" x14ac:dyDescent="0.2">
      <c r="A63" s="2" t="str">
        <f>D1-1 &amp; " Tangible Exon"</f>
        <v>2024 Tangible Exon</v>
      </c>
      <c r="B63" s="2"/>
      <c r="C63" s="2"/>
      <c r="H63" s="3"/>
    </row>
    <row r="64" spans="1:9" ht="13.5" thickBot="1" x14ac:dyDescent="0.25"/>
    <row r="65" spans="1:8" ht="13.5" thickBot="1" x14ac:dyDescent="0.25">
      <c r="A65" s="2" t="s">
        <v>32</v>
      </c>
      <c r="H65" s="94"/>
    </row>
  </sheetData>
  <sheetProtection algorithmName="SHA-512" hashValue="o0SJzOYUnI9F3mtAUBlV2rR51rnz9vsYPB637zMUPD9l/S2Hd/dMF8MJNEozQxUvmozRLJxmu6fPJk7e1IUrnw==" saltValue="0PkdUVUjQo3lHGn1su76VA==" spinCount="100000" sheet="1" objects="1" scenarios="1" selectLockedCells="1"/>
  <mergeCells count="1">
    <mergeCell ref="D7:H7"/>
  </mergeCells>
  <pageMargins left="0.25" right="0.25" top="0.45833223972003501" bottom="1" header="0.25" footer="0.25"/>
  <pageSetup scale="81" orientation="portrait" r:id="rId1"/>
  <headerFooter alignWithMargins="0">
    <oddHeader>&amp;CKENTUCKY CERTIFIED PROPERTY ASSESSMENT 2021</oddHeader>
  </headerFooter>
  <extLst>
    <ext xmlns:x14="http://schemas.microsoft.com/office/spreadsheetml/2009/9/main" uri="{78C0D931-6437-407d-A8EE-F0AAD7539E65}">
      <x14:conditionalFormattings>
        <x14:conditionalFormatting xmlns:xm="http://schemas.microsoft.com/office/excel/2006/main">
          <x14:cfRule type="expression" priority="35" id="{3A1DC95C-C86C-47AB-ADFD-0DD557D8ABAF}">
            <xm:f>AND(ISNUMBER(D9),ISNUMBER(DATA2!D9),#REF!)</xm:f>
            <x14:dxf>
              <font>
                <b/>
                <i val="0"/>
                <color theme="0"/>
              </font>
              <fill>
                <patternFill>
                  <bgColor theme="9"/>
                </patternFill>
              </fill>
            </x14:dxf>
          </x14:cfRule>
          <x14:cfRule type="expression" priority="36" id="{E7C1A1D3-8BEB-4F63-B4EB-1E5B48E1148D}">
            <xm:f>AND(ISNUMBER(D9),ISNUMBER(DATA2!D9),#REF!=FALSE)</xm:f>
            <x14:dxf>
              <font>
                <b/>
                <i val="0"/>
                <color theme="0"/>
              </font>
              <fill>
                <patternFill>
                  <bgColor rgb="FFC00000"/>
                </patternFill>
              </fill>
            </x14:dxf>
          </x14:cfRule>
          <xm:sqref>D9 D12:D13</xm:sqref>
        </x14:conditionalFormatting>
        <x14:conditionalFormatting xmlns:xm="http://schemas.microsoft.com/office/excel/2006/main">
          <x14:cfRule type="expression" priority="43" id="{3A1DC95C-C86C-47AB-ADFD-0DD557D8ABAF}">
            <xm:f>AND(ISNUMBER(D17),ISNUMBER(DATA2!#REF!),#REF!)</xm:f>
            <x14:dxf>
              <font>
                <b/>
                <i val="0"/>
                <color theme="0"/>
              </font>
              <fill>
                <patternFill>
                  <bgColor theme="9"/>
                </patternFill>
              </fill>
            </x14:dxf>
          </x14:cfRule>
          <x14:cfRule type="expression" priority="44" id="{E7C1A1D3-8BEB-4F63-B4EB-1E5B48E1148D}">
            <xm:f>AND(ISNUMBER(D17),ISNUMBER(DATA2!#REF!),#REF!=FALSE)</xm:f>
            <x14:dxf>
              <font>
                <b/>
                <i val="0"/>
                <color theme="0"/>
              </font>
              <fill>
                <patternFill>
                  <bgColor rgb="FFC00000"/>
                </patternFill>
              </fill>
            </x14:dxf>
          </x14:cfRule>
          <xm:sqref>H17 H20 D31 H31 D33 H33 D35 H35 D38 H38 D41 H41 H47 H49 H51 H65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5F585-8EEB-4243-955D-402BC65D2D4C}">
  <sheetPr>
    <tabColor rgb="FFC00000"/>
    <pageSetUpPr fitToPage="1"/>
  </sheetPr>
  <dimension ref="A1:I16"/>
  <sheetViews>
    <sheetView showGridLines="0" zoomScale="115" zoomScaleNormal="115" workbookViewId="0">
      <selection activeCell="D13" sqref="D13"/>
    </sheetView>
  </sheetViews>
  <sheetFormatPr defaultColWidth="8.85546875" defaultRowHeight="12.75" x14ac:dyDescent="0.2"/>
  <cols>
    <col min="1" max="3" width="8.85546875" style="1"/>
    <col min="4" max="4" width="18.5703125" style="1" customWidth="1"/>
    <col min="5" max="5" width="7.140625" style="1" customWidth="1"/>
    <col min="6" max="6" width="14.28515625" style="1" customWidth="1"/>
    <col min="7" max="7" width="7.140625" style="1" customWidth="1"/>
    <col min="8" max="8" width="18.5703125" style="1" customWidth="1"/>
    <col min="9" max="16384" width="8.85546875" style="1"/>
  </cols>
  <sheetData>
    <row r="1" spans="1:9" ht="13.5" thickBot="1" x14ac:dyDescent="0.25">
      <c r="A1" s="2" t="s">
        <v>122</v>
      </c>
      <c r="D1" s="92">
        <f>+DATA!D1</f>
        <v>2025</v>
      </c>
      <c r="E1" s="10"/>
      <c r="F1" s="10"/>
      <c r="H1" s="92">
        <f>+DATA!H1</f>
        <v>0</v>
      </c>
      <c r="I1" s="2"/>
    </row>
    <row r="2" spans="1:9" ht="13.5" thickBot="1" x14ac:dyDescent="0.25">
      <c r="E2" s="10"/>
      <c r="F2" s="10"/>
      <c r="H2" s="9" t="s">
        <v>1</v>
      </c>
      <c r="I2" s="2"/>
    </row>
    <row r="3" spans="1:9" ht="13.5" thickBot="1" x14ac:dyDescent="0.25">
      <c r="A3" s="2" t="s">
        <v>119</v>
      </c>
      <c r="D3" s="105">
        <f>+DATA!D3</f>
        <v>0</v>
      </c>
    </row>
    <row r="4" spans="1:9" ht="13.5" thickBot="1" x14ac:dyDescent="0.25">
      <c r="H4" s="9"/>
    </row>
    <row r="5" spans="1:9" ht="13.5" thickBot="1" x14ac:dyDescent="0.25">
      <c r="A5" s="2" t="s">
        <v>2</v>
      </c>
      <c r="D5" s="92">
        <f>+DATA!D5</f>
        <v>0</v>
      </c>
      <c r="H5" s="9"/>
    </row>
    <row r="6" spans="1:9" ht="13.5" thickBot="1" x14ac:dyDescent="0.25">
      <c r="H6" s="9"/>
    </row>
    <row r="7" spans="1:9" ht="15.75" thickBot="1" x14ac:dyDescent="0.3">
      <c r="A7" s="2" t="s">
        <v>3</v>
      </c>
      <c r="D7" s="179">
        <f>+DATA!D7</f>
        <v>0</v>
      </c>
      <c r="E7" s="180"/>
      <c r="F7" s="180"/>
      <c r="G7" s="180"/>
      <c r="H7" s="181"/>
    </row>
    <row r="8" spans="1:9" ht="13.5" thickBot="1" x14ac:dyDescent="0.25">
      <c r="H8" s="9"/>
    </row>
    <row r="9" spans="1:9" ht="15.75" thickBot="1" x14ac:dyDescent="0.3">
      <c r="A9" s="2" t="s">
        <v>4</v>
      </c>
      <c r="D9" s="106"/>
      <c r="F9" s="99" t="e">
        <f>IF(AND(ISNUMBER(DATA!D9),ISNUMBER(DATA2!D9)),DATA!D9=DATA2!D9, NA())</f>
        <v>#N/A</v>
      </c>
      <c r="H9" s="9"/>
    </row>
    <row r="10" spans="1:9" x14ac:dyDescent="0.2">
      <c r="H10" s="9"/>
    </row>
    <row r="11" spans="1:9" ht="13.5" thickBot="1" x14ac:dyDescent="0.25">
      <c r="A11" s="2" t="s">
        <v>5</v>
      </c>
      <c r="H11" s="9"/>
    </row>
    <row r="12" spans="1:9" ht="15.75" thickBot="1" x14ac:dyDescent="0.3">
      <c r="A12" s="2" t="s">
        <v>6</v>
      </c>
      <c r="D12" s="106"/>
      <c r="F12" s="99" t="e">
        <f>IF(AND(ISNUMBER(DATA!D12),ISNUMBER(DATA2!D12)),DATA!D12=DATA2!D12, NA())</f>
        <v>#N/A</v>
      </c>
      <c r="H12" s="9"/>
    </row>
    <row r="13" spans="1:9" ht="15.75" thickBot="1" x14ac:dyDescent="0.3">
      <c r="A13" s="2" t="s">
        <v>7</v>
      </c>
      <c r="D13" s="106"/>
      <c r="F13" s="99" t="e">
        <f>IF(AND(ISNUMBER(DATA!D13),ISNUMBER(DATA2!D13)),DATA!D13=DATA2!D13, NA())</f>
        <v>#N/A</v>
      </c>
      <c r="H13" s="9"/>
    </row>
    <row r="14" spans="1:9" ht="13.5" thickBot="1" x14ac:dyDescent="0.25">
      <c r="H14" s="9"/>
    </row>
    <row r="15" spans="1:9" ht="14.25" thickTop="1" thickBot="1" x14ac:dyDescent="0.25">
      <c r="C15" s="108"/>
      <c r="D15" s="112" t="s">
        <v>124</v>
      </c>
      <c r="E15" s="113"/>
      <c r="H15" s="9"/>
    </row>
    <row r="16" spans="1:9" ht="13.5" thickTop="1" x14ac:dyDescent="0.2">
      <c r="C16" s="109"/>
      <c r="D16" s="110"/>
      <c r="E16" s="111"/>
      <c r="F16" s="109"/>
      <c r="H16" s="9"/>
    </row>
  </sheetData>
  <sheetProtection algorithmName="SHA-512" hashValue="SrCqKHGTaIVMkps54qPidcAtkte4iUj2n4r+ApsMiNrGd/9BHKjrxImvx5tXEN8YmRBzUtLM7e8RerQaFBV27g==" saltValue="VLSUGthaRZPcBjadNUztDQ==" spinCount="100000" sheet="1" objects="1" scenarios="1" selectLockedCells="1"/>
  <mergeCells count="1">
    <mergeCell ref="D7:H7"/>
  </mergeCells>
  <pageMargins left="0.25" right="0.25" top="0.45833223972003501" bottom="1" header="0.25" footer="0.25"/>
  <pageSetup scale="81" orientation="portrait" r:id="rId1"/>
  <headerFooter alignWithMargins="0">
    <oddHeader>&amp;CKENTUCKY CERTIFIED PROPERTY ASSESSMENT 2021</oddHeader>
  </headerFooter>
  <extLst>
    <ext xmlns:x14="http://schemas.microsoft.com/office/spreadsheetml/2009/9/main" uri="{78C0D931-6437-407d-A8EE-F0AAD7539E65}">
      <x14:conditionalFormattings>
        <x14:conditionalFormatting xmlns:xm="http://schemas.microsoft.com/office/excel/2006/main">
          <x14:cfRule type="expression" priority="37" id="{21AC4483-8BA4-4DC7-B69A-7F8F1745860E}">
            <xm:f>AND(ISNUMBER(D9),ISNUMBER(DATA!D9),#REF!)</xm:f>
            <x14:dxf>
              <font>
                <b/>
                <i val="0"/>
                <color theme="0"/>
              </font>
              <fill>
                <patternFill>
                  <bgColor theme="9"/>
                </patternFill>
              </fill>
            </x14:dxf>
          </x14:cfRule>
          <x14:cfRule type="expression" priority="38" id="{BB03996A-EBEF-4EC0-BD2F-9D99EAB9739E}">
            <xm:f>AND(ISNUMBER(D9),ISNUMBER(DATA!D9),#REF!=FALSE)</xm:f>
            <x14:dxf>
              <font>
                <b/>
                <i val="0"/>
                <color theme="0"/>
              </font>
              <fill>
                <patternFill>
                  <bgColor rgb="FFC00000"/>
                </patternFill>
              </fill>
            </x14:dxf>
          </x14:cfRule>
          <xm:sqref>D9 D12:D13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4"/>
  <sheetViews>
    <sheetView showGridLines="0" tabSelected="1" topLeftCell="A2" zoomScale="80" zoomScaleNormal="80" workbookViewId="0">
      <selection activeCell="H6" sqref="H6"/>
    </sheetView>
  </sheetViews>
  <sheetFormatPr defaultColWidth="8.85546875" defaultRowHeight="15" x14ac:dyDescent="0.25"/>
  <cols>
    <col min="1" max="3" width="41.42578125" customWidth="1"/>
    <col min="4" max="4" width="21.85546875" customWidth="1"/>
  </cols>
  <sheetData>
    <row r="1" spans="1:6" s="78" customFormat="1" ht="118.5" customHeight="1" x14ac:dyDescent="0.25"/>
    <row r="2" spans="1:6" ht="148.5" customHeight="1" x14ac:dyDescent="0.25">
      <c r="A2" s="182"/>
      <c r="B2" s="183"/>
      <c r="C2" s="183"/>
    </row>
    <row r="3" spans="1:6" s="99" customFormat="1" ht="13.15" customHeight="1" x14ac:dyDescent="0.25">
      <c r="A3" s="188">
        <f>+DATA!D3</f>
        <v>0</v>
      </c>
      <c r="B3" s="189"/>
      <c r="C3" s="189"/>
    </row>
    <row r="4" spans="1:6" ht="27" customHeight="1" x14ac:dyDescent="0.25">
      <c r="A4" s="190">
        <f>+DATA!D5</f>
        <v>0</v>
      </c>
      <c r="B4" s="191"/>
      <c r="C4" s="191"/>
    </row>
    <row r="5" spans="1:6" s="100" customFormat="1" ht="27" customHeight="1" x14ac:dyDescent="0.25">
      <c r="A5" s="190">
        <f>+DATA!D7</f>
        <v>0</v>
      </c>
      <c r="B5" s="192"/>
      <c r="C5" s="192"/>
    </row>
    <row r="6" spans="1:6" s="101" customFormat="1" ht="34.15" customHeight="1" x14ac:dyDescent="0.25">
      <c r="A6" s="195" t="str">
        <f>"Subject - " &amp; DATA!D1 &amp; " Tax Rates and Revenue Computations for your Special Purpose Governmental Entity (SPGE)"</f>
        <v>Subject - 2025 Tax Rates and Revenue Computations for your Special Purpose Governmental Entity (SPGE)</v>
      </c>
      <c r="B6" s="195"/>
      <c r="C6" s="195"/>
      <c r="D6" s="102"/>
    </row>
    <row r="7" spans="1:6" ht="12.75" customHeight="1" x14ac:dyDescent="0.3">
      <c r="A7" s="65"/>
      <c r="B7" s="65"/>
      <c r="C7" s="66"/>
    </row>
    <row r="8" spans="1:6" s="60" customFormat="1" ht="57.6" customHeight="1" x14ac:dyDescent="0.25">
      <c r="A8" s="194" t="str">
        <f>"We are writing to provide you with the " &amp; DATA!D1 &amp; " tax rates and tax revenue computations for your Special Purpose Governmental Entity (SPGE). " &amp; "These calculations have been prepared by the Department for Local Government (DLG) in accordance with the guidelines outlined in the Kentucky Revised Statutes (KRS) Chapter 132."</f>
        <v>We are writing to provide you with the 2025 tax rates and tax revenue computations for your Special Purpose Governmental Entity (SPGE). These calculations have been prepared by the Department for Local Government (DLG) in accordance with the guidelines outlined in the Kentucky Revised Statutes (KRS) Chapter 132.</v>
      </c>
      <c r="B8" s="194"/>
      <c r="C8" s="194"/>
      <c r="D8" s="74"/>
      <c r="E8" s="74"/>
    </row>
    <row r="9" spans="1:6" s="60" customFormat="1" ht="39" customHeight="1" x14ac:dyDescent="0.25">
      <c r="A9" s="194" t="s">
        <v>112</v>
      </c>
      <c r="B9" s="194"/>
      <c r="C9" s="194"/>
    </row>
    <row r="10" spans="1:6" s="60" customFormat="1" ht="46.15" customHeight="1" x14ac:dyDescent="0.25">
      <c r="A10" s="194" t="s">
        <v>113</v>
      </c>
      <c r="B10" s="194"/>
      <c r="C10" s="194"/>
    </row>
    <row r="11" spans="1:6" ht="15.75" thickBot="1" x14ac:dyDescent="0.3">
      <c r="A11" t="s">
        <v>33</v>
      </c>
      <c r="B11" t="s">
        <v>34</v>
      </c>
      <c r="C11" t="s">
        <v>34</v>
      </c>
      <c r="D11" t="s">
        <v>34</v>
      </c>
      <c r="E11" t="s">
        <v>34</v>
      </c>
      <c r="F11" t="s">
        <v>34</v>
      </c>
    </row>
    <row r="12" spans="1:6" ht="16.5" thickTop="1" thickBot="1" x14ac:dyDescent="0.3">
      <c r="A12" s="69">
        <f>+DATA!H65</f>
        <v>0</v>
      </c>
      <c r="B12" s="70" t="s">
        <v>35</v>
      </c>
      <c r="C12" s="71"/>
    </row>
    <row r="13" spans="1:6" ht="15.75" thickTop="1" x14ac:dyDescent="0.25">
      <c r="A13" s="196" t="s">
        <v>36</v>
      </c>
      <c r="B13" s="198" t="s">
        <v>114</v>
      </c>
      <c r="C13" s="200" t="s">
        <v>123</v>
      </c>
      <c r="D13" t="s">
        <v>34</v>
      </c>
      <c r="E13" t="s">
        <v>34</v>
      </c>
    </row>
    <row r="14" spans="1:6" ht="15.75" thickBot="1" x14ac:dyDescent="0.3">
      <c r="A14" s="197"/>
      <c r="B14" s="199"/>
      <c r="C14" s="201" t="s">
        <v>33</v>
      </c>
      <c r="D14" t="s">
        <v>34</v>
      </c>
      <c r="E14" t="s">
        <v>34</v>
      </c>
    </row>
    <row r="15" spans="1:6" ht="16.5" thickTop="1" thickBot="1" x14ac:dyDescent="0.3">
      <c r="A15" s="61" t="s">
        <v>37</v>
      </c>
      <c r="B15" s="118" t="e">
        <f>IF(REAL!D37&lt;0,REAL!F41,REAL!F24)*100</f>
        <v>#DIV/0!</v>
      </c>
      <c r="C15" s="118" t="e">
        <f>+REAL!F49*100</f>
        <v>#DIV/0!</v>
      </c>
      <c r="D15" t="s">
        <v>34</v>
      </c>
      <c r="E15" t="s">
        <v>34</v>
      </c>
    </row>
    <row r="16" spans="1:6" ht="16.5" thickTop="1" thickBot="1" x14ac:dyDescent="0.3">
      <c r="A16" s="62" t="s">
        <v>38</v>
      </c>
      <c r="B16" s="63" t="e">
        <f>(B15/10000)*REAL!F14</f>
        <v>#DIV/0!</v>
      </c>
      <c r="C16" s="64" t="e">
        <f>(C15/10000)*REAL!F14</f>
        <v>#DIV/0!</v>
      </c>
      <c r="D16" t="s">
        <v>34</v>
      </c>
      <c r="E16" t="s">
        <v>34</v>
      </c>
    </row>
    <row r="17" spans="1:5" ht="15.75" thickTop="1" x14ac:dyDescent="0.25">
      <c r="A17" t="s">
        <v>33</v>
      </c>
      <c r="E17" t="s">
        <v>34</v>
      </c>
    </row>
    <row r="18" spans="1:5" ht="22.5" customHeight="1" x14ac:dyDescent="0.25">
      <c r="A18" s="184" t="s">
        <v>115</v>
      </c>
      <c r="B18" s="185"/>
      <c r="C18" s="185"/>
      <c r="D18" s="75"/>
    </row>
    <row r="19" spans="1:5" ht="32.25" customHeight="1" x14ac:dyDescent="0.25">
      <c r="A19" s="184" t="s">
        <v>120</v>
      </c>
      <c r="B19" s="185"/>
      <c r="C19" s="185"/>
      <c r="D19" s="75"/>
    </row>
    <row r="20" spans="1:5" ht="60" customHeight="1" x14ac:dyDescent="0.25">
      <c r="A20" s="184" t="s">
        <v>121</v>
      </c>
      <c r="B20" s="185"/>
      <c r="C20" s="185"/>
      <c r="D20" s="75"/>
    </row>
    <row r="21" spans="1:5" ht="48" customHeight="1" x14ac:dyDescent="0.25">
      <c r="A21" s="186" t="s">
        <v>116</v>
      </c>
      <c r="B21" s="187"/>
      <c r="C21" s="187"/>
      <c r="D21" s="75"/>
    </row>
    <row r="22" spans="1:5" ht="50.25" customHeight="1" x14ac:dyDescent="0.25">
      <c r="A22" s="193" t="s">
        <v>117</v>
      </c>
      <c r="B22" s="193"/>
      <c r="C22" s="193"/>
      <c r="D22" s="75"/>
    </row>
    <row r="23" spans="1:5" ht="21.75" customHeight="1" x14ac:dyDescent="0.25">
      <c r="A23" t="s">
        <v>39</v>
      </c>
      <c r="B23" s="76"/>
      <c r="C23" s="76"/>
      <c r="D23" s="75"/>
    </row>
    <row r="24" spans="1:5" x14ac:dyDescent="0.25">
      <c r="A24" s="75"/>
      <c r="B24" s="75"/>
      <c r="C24" s="75"/>
      <c r="D24" s="75"/>
    </row>
    <row r="25" spans="1:5" x14ac:dyDescent="0.25">
      <c r="A25" t="s">
        <v>40</v>
      </c>
      <c r="B25" s="75"/>
      <c r="C25" s="75"/>
      <c r="D25" s="75"/>
    </row>
    <row r="26" spans="1:5" s="101" customFormat="1" ht="32.450000000000003" customHeight="1" x14ac:dyDescent="0.4">
      <c r="A26" s="104" t="s">
        <v>118</v>
      </c>
      <c r="B26" s="103"/>
      <c r="C26" s="103"/>
      <c r="D26" s="103"/>
    </row>
    <row r="27" spans="1:5" s="101" customFormat="1" ht="28.15" customHeight="1" x14ac:dyDescent="0.25">
      <c r="A27" s="102" t="s">
        <v>42</v>
      </c>
      <c r="B27" s="103"/>
      <c r="C27" s="103"/>
      <c r="D27" s="103"/>
    </row>
    <row r="28" spans="1:5" x14ac:dyDescent="0.25">
      <c r="A28" s="67" t="s">
        <v>41</v>
      </c>
      <c r="B28" s="75"/>
      <c r="C28" s="75"/>
      <c r="D28" s="75"/>
    </row>
    <row r="29" spans="1:5" ht="17.25" x14ac:dyDescent="0.25">
      <c r="A29" s="67" t="s">
        <v>43</v>
      </c>
      <c r="B29" s="75"/>
      <c r="C29" s="75"/>
      <c r="D29" s="75"/>
    </row>
    <row r="30" spans="1:5" x14ac:dyDescent="0.25">
      <c r="A30" s="67" t="s">
        <v>44</v>
      </c>
      <c r="B30" s="75"/>
      <c r="C30" s="75"/>
      <c r="D30" s="75"/>
    </row>
    <row r="31" spans="1:5" x14ac:dyDescent="0.25">
      <c r="A31" s="67" t="s">
        <v>45</v>
      </c>
      <c r="B31" s="75"/>
      <c r="C31" s="75"/>
      <c r="D31" s="75"/>
    </row>
    <row r="32" spans="1:5" x14ac:dyDescent="0.25">
      <c r="A32" s="68" t="s">
        <v>46</v>
      </c>
      <c r="B32" s="75"/>
      <c r="C32" s="75"/>
      <c r="D32" s="75"/>
    </row>
    <row r="33" spans="1:4" ht="63" customHeight="1" x14ac:dyDescent="0.25">
      <c r="A33" s="75"/>
      <c r="B33" s="75"/>
      <c r="C33" s="75"/>
      <c r="D33" s="75"/>
    </row>
    <row r="34" spans="1:4" x14ac:dyDescent="0.25">
      <c r="A34" s="75"/>
      <c r="B34" s="75"/>
      <c r="C34" s="75"/>
      <c r="D34" s="75"/>
    </row>
  </sheetData>
  <sheetProtection algorithmName="SHA-512" hashValue="mG4AjjjB91gvsnIt4jbiHcZcg/8X42k1RX84rLv57CkLl3E7EbTkoaYdibV3XibkrS0tesrk7Xm1fGXBypPw6A==" saltValue="zoYihf3TeXI8gIRpd27iVg==" spinCount="100000" sheet="1" objects="1" scenarios="1" selectLockedCells="1" selectUnlockedCells="1"/>
  <mergeCells count="16">
    <mergeCell ref="A22:C22"/>
    <mergeCell ref="A10:C10"/>
    <mergeCell ref="A8:C8"/>
    <mergeCell ref="A6:C6"/>
    <mergeCell ref="A9:C9"/>
    <mergeCell ref="A13:A14"/>
    <mergeCell ref="B13:B14"/>
    <mergeCell ref="C13:C14"/>
    <mergeCell ref="A2:C2"/>
    <mergeCell ref="A18:C18"/>
    <mergeCell ref="A19:C19"/>
    <mergeCell ref="A20:C20"/>
    <mergeCell ref="A21:C21"/>
    <mergeCell ref="A3:C3"/>
    <mergeCell ref="A4:C4"/>
    <mergeCell ref="A5:C5"/>
  </mergeCells>
  <hyperlinks>
    <hyperlink ref="A32" r:id="rId1" xr:uid="{D1BB08F6-451B-4637-818E-7CE25E5FE948}"/>
  </hyperlinks>
  <pageMargins left="1.45" right="0.7" top="0.75" bottom="0.75" header="0.3" footer="0.3"/>
  <pageSetup scale="4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7"/>
  <sheetViews>
    <sheetView showGridLines="0" zoomScaleNormal="100" workbookViewId="0">
      <selection activeCell="A5" sqref="A5:G5"/>
    </sheetView>
  </sheetViews>
  <sheetFormatPr defaultColWidth="8.85546875" defaultRowHeight="12.75" x14ac:dyDescent="0.2"/>
  <cols>
    <col min="1" max="1" width="8.85546875" style="93"/>
    <col min="2" max="2" width="19.7109375" style="93" customWidth="1"/>
    <col min="3" max="3" width="8.85546875" style="93"/>
    <col min="4" max="4" width="22" style="93" customWidth="1"/>
    <col min="5" max="5" width="10" style="93" customWidth="1"/>
    <col min="6" max="6" width="19.5703125" style="93" customWidth="1"/>
    <col min="7" max="7" width="8.85546875" style="93"/>
    <col min="8" max="8" width="17.28515625" style="93" bestFit="1" customWidth="1"/>
    <col min="9" max="16384" width="8.85546875" style="93"/>
  </cols>
  <sheetData>
    <row r="1" spans="1:11" ht="84.75" customHeight="1" x14ac:dyDescent="0.2">
      <c r="A1" s="202"/>
      <c r="B1" s="202"/>
      <c r="C1" s="202"/>
      <c r="D1" s="202"/>
      <c r="E1" s="202"/>
      <c r="F1" s="202"/>
      <c r="G1" s="202"/>
    </row>
    <row r="2" spans="1:11" s="121" customFormat="1" ht="18.75" x14ac:dyDescent="0.3">
      <c r="A2" s="206" t="s">
        <v>47</v>
      </c>
      <c r="B2" s="206"/>
      <c r="C2" s="206"/>
      <c r="D2" s="206"/>
      <c r="E2" s="206"/>
      <c r="F2" s="206"/>
      <c r="G2" s="206"/>
      <c r="H2" s="119"/>
      <c r="I2" s="120"/>
      <c r="J2" s="120"/>
      <c r="K2" s="120"/>
    </row>
    <row r="3" spans="1:11" s="121" customFormat="1" ht="18.75" x14ac:dyDescent="0.3">
      <c r="A3" s="206" t="s">
        <v>48</v>
      </c>
      <c r="B3" s="206"/>
      <c r="C3" s="206"/>
      <c r="D3" s="206"/>
      <c r="E3" s="206"/>
      <c r="F3" s="206"/>
      <c r="G3" s="206"/>
      <c r="H3" s="119"/>
      <c r="I3" s="122"/>
      <c r="J3" s="119"/>
      <c r="K3" s="119"/>
    </row>
    <row r="4" spans="1:11" s="121" customFormat="1" ht="18.75" x14ac:dyDescent="0.3">
      <c r="A4" s="206" t="s">
        <v>49</v>
      </c>
      <c r="B4" s="206"/>
      <c r="C4" s="206"/>
      <c r="D4" s="206"/>
      <c r="E4" s="206"/>
      <c r="F4" s="206"/>
      <c r="G4" s="206"/>
      <c r="H4" s="119"/>
      <c r="I4" s="122"/>
      <c r="J4" s="119"/>
      <c r="K4" s="119"/>
    </row>
    <row r="5" spans="1:11" ht="15.75" x14ac:dyDescent="0.25">
      <c r="A5" s="205">
        <f>+DATA!D5</f>
        <v>0</v>
      </c>
      <c r="B5" s="205"/>
      <c r="C5" s="205"/>
      <c r="D5" s="205"/>
      <c r="E5" s="205"/>
      <c r="F5" s="205"/>
      <c r="G5" s="205"/>
      <c r="H5" s="123"/>
      <c r="I5" s="124"/>
      <c r="J5" s="125"/>
      <c r="K5" s="125"/>
    </row>
    <row r="6" spans="1:11" s="129" customFormat="1" ht="21" x14ac:dyDescent="0.3">
      <c r="A6" s="204">
        <f>+DATA!D7</f>
        <v>0</v>
      </c>
      <c r="B6" s="204"/>
      <c r="C6" s="204"/>
      <c r="D6" s="204"/>
      <c r="E6" s="204"/>
      <c r="F6" s="204"/>
      <c r="G6" s="204"/>
      <c r="H6" s="126"/>
      <c r="I6" s="127"/>
      <c r="J6" s="127"/>
      <c r="K6" s="128"/>
    </row>
    <row r="7" spans="1:11" ht="19.899999999999999" customHeight="1" x14ac:dyDescent="0.25">
      <c r="A7" s="203">
        <f>+DATA!H1</f>
        <v>0</v>
      </c>
      <c r="B7" s="203"/>
      <c r="C7" s="203"/>
      <c r="D7" s="203"/>
      <c r="E7" s="203"/>
      <c r="F7" s="203"/>
      <c r="G7" s="203"/>
      <c r="H7" s="130"/>
      <c r="K7" s="131"/>
    </row>
    <row r="8" spans="1:11" ht="15.75" thickBot="1" x14ac:dyDescent="0.3">
      <c r="A8" s="132"/>
      <c r="D8" s="133"/>
      <c r="E8" s="134"/>
    </row>
    <row r="9" spans="1:11" ht="15.75" thickTop="1" x14ac:dyDescent="0.25">
      <c r="A9" s="135">
        <v>1</v>
      </c>
      <c r="B9" s="93" t="str">
        <f>DATA!D1 -1 &amp; " Actual Tax Rate (per $100) Real Property"</f>
        <v>2024 Actual Tax Rate (per $100) Real Property</v>
      </c>
      <c r="D9" s="133"/>
      <c r="E9" s="134"/>
      <c r="F9" s="116">
        <f>+DATA!D12</f>
        <v>0</v>
      </c>
    </row>
    <row r="10" spans="1:11" ht="15" x14ac:dyDescent="0.25">
      <c r="A10" s="135">
        <v>2</v>
      </c>
      <c r="B10" s="93" t="str">
        <f>DATA!D1-1 &amp; " Actual Tax Rate (per $100) Personal Property"</f>
        <v>2024 Actual Tax Rate (per $100) Personal Property</v>
      </c>
      <c r="D10" s="133"/>
      <c r="E10" s="134"/>
      <c r="F10" s="115">
        <f>+DATA!D13</f>
        <v>0</v>
      </c>
      <c r="H10" s="136"/>
    </row>
    <row r="11" spans="1:11" ht="15" x14ac:dyDescent="0.25">
      <c r="A11" s="135">
        <v>3</v>
      </c>
      <c r="B11" s="93" t="str">
        <f>DATA!D1-1 &amp; " Total Property Subject to Rate ( A)"</f>
        <v>2024 Total Property Subject to Rate ( A)</v>
      </c>
      <c r="D11" s="133"/>
      <c r="E11" s="134" t="s">
        <v>34</v>
      </c>
      <c r="F11" s="137">
        <f>DATA!H17</f>
        <v>0</v>
      </c>
      <c r="H11" s="138"/>
    </row>
    <row r="12" spans="1:11" ht="15" x14ac:dyDescent="0.25">
      <c r="A12" s="135">
        <v>4</v>
      </c>
      <c r="B12" s="93" t="str">
        <f>DATA!D1-1 &amp; " Real Property Subject to Rate (col 1, F, H)"</f>
        <v>2024 Real Property Subject to Rate (col 1, F, H)</v>
      </c>
      <c r="D12" s="133"/>
      <c r="E12" s="134" t="s">
        <v>34</v>
      </c>
      <c r="F12" s="139">
        <f>DATA!D31+DATA!D35</f>
        <v>0</v>
      </c>
      <c r="H12" s="138"/>
    </row>
    <row r="13" spans="1:11" ht="15" x14ac:dyDescent="0.25">
      <c r="A13" s="135">
        <v>5</v>
      </c>
      <c r="B13" s="93" t="str">
        <f>DATA!D1 &amp; " Total Property Subject to Rate (E)"</f>
        <v>2025 Total Property Subject to Rate (E)</v>
      </c>
      <c r="D13" s="133"/>
      <c r="E13" s="134" t="s">
        <v>34</v>
      </c>
      <c r="F13" s="140">
        <f>DATA!H31+DATA!H33+DATA!H35+DATA!H38+DATA!H41</f>
        <v>0</v>
      </c>
      <c r="H13" s="138"/>
    </row>
    <row r="14" spans="1:11" ht="15" x14ac:dyDescent="0.25">
      <c r="A14" s="135">
        <v>6</v>
      </c>
      <c r="B14" s="93" t="str">
        <f>DATA!D1 &amp; " Real Property Subject to Rate (col 3, F, H)"</f>
        <v>2025 Real Property Subject to Rate (col 3, F, H)</v>
      </c>
      <c r="D14" s="133"/>
      <c r="E14" s="134"/>
      <c r="F14" s="139">
        <f>DATA!H31+DATA!H35</f>
        <v>0</v>
      </c>
      <c r="H14" s="138"/>
    </row>
    <row r="15" spans="1:11" ht="15" x14ac:dyDescent="0.25">
      <c r="A15" s="135">
        <v>7</v>
      </c>
      <c r="B15" s="93" t="str">
        <f>DATA!D1 &amp; " New Propery (KRS 132.010) (Net new  PVA + PS)"</f>
        <v>2025 New Propery (KRS 132.010) (Net new  PVA + PS)</v>
      </c>
      <c r="D15" s="133"/>
      <c r="E15" s="141">
        <f>+DATA!H51+DATA!H52</f>
        <v>0</v>
      </c>
      <c r="F15" s="142">
        <f>IF(E15&lt;0,0,E15)</f>
        <v>0</v>
      </c>
      <c r="H15" s="138"/>
    </row>
    <row r="16" spans="1:11" ht="15" x14ac:dyDescent="0.25">
      <c r="A16" s="135">
        <v>8</v>
      </c>
      <c r="B16" s="93" t="str">
        <f>DATA!D1-1 &amp; " Personal Property Subject to Rate (Col 1, G, I, J)"</f>
        <v>2024 Personal Property Subject to Rate (Col 1, G, I, J)</v>
      </c>
      <c r="D16" s="133"/>
      <c r="E16" s="134"/>
      <c r="F16" s="139">
        <f>DATA!D33+DATA!D38+DATA!D41</f>
        <v>0</v>
      </c>
      <c r="H16" s="138"/>
    </row>
    <row r="17" spans="1:9" ht="15" x14ac:dyDescent="0.25">
      <c r="A17" s="135">
        <v>9</v>
      </c>
      <c r="B17" s="93" t="str">
        <f>DATA!D1 &amp; " Personal Property Subject to Rate (Col 3, G, I J)"</f>
        <v>2025 Personal Property Subject to Rate (Col 3, G, I J)</v>
      </c>
      <c r="D17" s="133"/>
      <c r="E17" s="134"/>
      <c r="F17" s="139">
        <f>DATA!H33+DATA!H38+DATA!H41</f>
        <v>0</v>
      </c>
      <c r="H17" s="138"/>
    </row>
    <row r="18" spans="1:9" ht="15" x14ac:dyDescent="0.25">
      <c r="A18" s="134" t="s">
        <v>34</v>
      </c>
      <c r="D18" s="133"/>
      <c r="E18" s="134"/>
    </row>
    <row r="19" spans="1:9" x14ac:dyDescent="0.2">
      <c r="A19" s="143" t="s">
        <v>50</v>
      </c>
      <c r="B19" s="136" t="str">
        <f>"Compensating Rate for " &amp; DATA!D1 &amp; " (KRS 132.010(6)):"</f>
        <v>Compensating Rate for 2025 (KRS 132.010(6)):</v>
      </c>
      <c r="C19" s="136"/>
      <c r="D19" s="144"/>
      <c r="E19" s="134"/>
    </row>
    <row r="20" spans="1:9" ht="15" x14ac:dyDescent="0.25">
      <c r="A20" s="134"/>
      <c r="D20" s="133"/>
      <c r="E20" s="134"/>
    </row>
    <row r="21" spans="1:9" ht="15" x14ac:dyDescent="0.25">
      <c r="A21" s="134"/>
      <c r="B21" s="140">
        <f>SUM(F12)</f>
        <v>0</v>
      </c>
      <c r="C21" s="93" t="s">
        <v>51</v>
      </c>
      <c r="D21" s="145">
        <f>SUM(F9)</f>
        <v>0</v>
      </c>
      <c r="E21" s="134" t="s">
        <v>52</v>
      </c>
      <c r="F21" s="140">
        <f>SUM(B21)/100*D21</f>
        <v>0</v>
      </c>
    </row>
    <row r="22" spans="1:9" x14ac:dyDescent="0.2">
      <c r="A22" s="132"/>
      <c r="B22" s="146">
        <v>4</v>
      </c>
      <c r="C22" s="147"/>
      <c r="D22" s="148">
        <v>1</v>
      </c>
      <c r="E22" s="149"/>
      <c r="F22" s="146" t="str">
        <f>"A (" &amp; DATA!D1 &amp; " Real Property Revenue)"</f>
        <v>A (2025 Real Property Revenue)</v>
      </c>
    </row>
    <row r="23" spans="1:9" ht="15" x14ac:dyDescent="0.25">
      <c r="A23" s="132"/>
      <c r="D23" s="133"/>
      <c r="E23" s="134"/>
    </row>
    <row r="24" spans="1:9" ht="15" x14ac:dyDescent="0.25">
      <c r="A24" s="132"/>
      <c r="B24" s="150">
        <f>SUM(F21)</f>
        <v>0</v>
      </c>
      <c r="C24" s="132" t="s">
        <v>53</v>
      </c>
      <c r="D24" s="140">
        <f>SUM(F14-F15)</f>
        <v>0</v>
      </c>
      <c r="E24" s="134" t="s">
        <v>54</v>
      </c>
      <c r="F24" s="151" t="e">
        <f>ROUNDUP(F26,3)</f>
        <v>#DIV/0!</v>
      </c>
      <c r="I24" s="152"/>
    </row>
    <row r="25" spans="1:9" x14ac:dyDescent="0.2">
      <c r="A25" s="132"/>
      <c r="B25" s="146" t="s">
        <v>55</v>
      </c>
      <c r="C25" s="147"/>
      <c r="D25" s="153" t="s">
        <v>56</v>
      </c>
      <c r="E25" s="149"/>
      <c r="F25" s="146" t="s">
        <v>57</v>
      </c>
    </row>
    <row r="26" spans="1:9" ht="15" x14ac:dyDescent="0.25">
      <c r="A26" s="132"/>
      <c r="D26" s="133"/>
      <c r="E26" s="134"/>
      <c r="F26" s="135" t="e">
        <f>SUM(B24)/D24*100</f>
        <v>#DIV/0!</v>
      </c>
    </row>
    <row r="27" spans="1:9" ht="15" x14ac:dyDescent="0.25">
      <c r="A27" s="132"/>
      <c r="B27" s="154" t="str">
        <f>"Check for minimum revenue limit on compensating rate for " &amp; DATA!D1 &amp; " (KRS 132.010 6)):"</f>
        <v>Check for minimum revenue limit on compensating rate for 2025 (KRS 132.010 6)):</v>
      </c>
      <c r="D27" s="133"/>
      <c r="E27" s="134"/>
    </row>
    <row r="28" spans="1:9" ht="15" x14ac:dyDescent="0.25">
      <c r="A28" s="132"/>
      <c r="D28" s="133"/>
      <c r="E28" s="134"/>
    </row>
    <row r="29" spans="1:9" ht="15" x14ac:dyDescent="0.25">
      <c r="A29" s="132"/>
      <c r="B29" s="140">
        <f>SUM(F13)</f>
        <v>0</v>
      </c>
      <c r="C29" s="93" t="s">
        <v>51</v>
      </c>
      <c r="D29" s="155" t="e">
        <f>SUM(F24)</f>
        <v>#DIV/0!</v>
      </c>
      <c r="E29" s="134" t="s">
        <v>52</v>
      </c>
      <c r="F29" s="139" t="e">
        <f>SUM(B29/100)*D29</f>
        <v>#DIV/0!</v>
      </c>
    </row>
    <row r="30" spans="1:9" x14ac:dyDescent="0.2">
      <c r="A30" s="132"/>
      <c r="B30" s="146">
        <v>5</v>
      </c>
      <c r="C30" s="147"/>
      <c r="D30" s="156" t="s">
        <v>58</v>
      </c>
      <c r="E30" s="149"/>
      <c r="F30" s="157" t="str">
        <f>"Total " &amp; DATA!D1 &amp; " Revenue"</f>
        <v>Total 2025 Revenue</v>
      </c>
    </row>
    <row r="31" spans="1:9" ht="15" x14ac:dyDescent="0.25">
      <c r="A31" s="132"/>
      <c r="B31" s="135"/>
      <c r="D31" s="158"/>
      <c r="E31" s="134"/>
      <c r="F31" s="135"/>
    </row>
    <row r="32" spans="1:9" ht="15" x14ac:dyDescent="0.25">
      <c r="A32" s="132"/>
      <c r="B32" s="140">
        <f>SUM(F12)</f>
        <v>0</v>
      </c>
      <c r="C32" s="93" t="s">
        <v>51</v>
      </c>
      <c r="D32" s="159">
        <f>SUM(F9)</f>
        <v>0</v>
      </c>
      <c r="E32" s="134" t="s">
        <v>52</v>
      </c>
      <c r="F32" s="140">
        <f>B32/100*D32</f>
        <v>0</v>
      </c>
    </row>
    <row r="33" spans="1:9" x14ac:dyDescent="0.2">
      <c r="A33" s="132"/>
      <c r="B33" s="146">
        <v>4</v>
      </c>
      <c r="C33" s="147"/>
      <c r="D33" s="148">
        <v>1</v>
      </c>
      <c r="E33" s="149"/>
      <c r="F33" s="146" t="str">
        <f>DATA!D1-1 &amp; " Revenue (R.E.)"</f>
        <v>2024 Revenue (R.E.)</v>
      </c>
      <c r="I33" s="160"/>
    </row>
    <row r="34" spans="1:9" x14ac:dyDescent="0.2">
      <c r="A34" s="132"/>
      <c r="B34" s="161"/>
      <c r="D34" s="160">
        <f>A30-A39</f>
        <v>0</v>
      </c>
      <c r="E34" s="134"/>
      <c r="F34" s="135"/>
    </row>
    <row r="35" spans="1:9" ht="15" x14ac:dyDescent="0.25">
      <c r="A35" s="132"/>
      <c r="B35" s="140">
        <f>SUM(F16)</f>
        <v>0</v>
      </c>
      <c r="C35" s="93" t="s">
        <v>51</v>
      </c>
      <c r="D35" s="159">
        <f>SUM(F10)</f>
        <v>0</v>
      </c>
      <c r="E35" s="134" t="s">
        <v>52</v>
      </c>
      <c r="F35" s="140">
        <f>B35/100*D35</f>
        <v>0</v>
      </c>
    </row>
    <row r="36" spans="1:9" x14ac:dyDescent="0.2">
      <c r="A36" s="132"/>
      <c r="B36" s="146">
        <v>8</v>
      </c>
      <c r="C36" s="147"/>
      <c r="D36" s="148">
        <v>2</v>
      </c>
      <c r="E36" s="149"/>
      <c r="F36" s="146" t="str">
        <f>DATA!D1-1 &amp; " Revenue (P.P.)"</f>
        <v>2024 Revenue (P.P.)</v>
      </c>
    </row>
    <row r="37" spans="1:9" x14ac:dyDescent="0.2">
      <c r="B37" s="162" t="s">
        <v>59</v>
      </c>
      <c r="C37" s="163"/>
      <c r="D37" s="164" t="e">
        <f>F29-F38</f>
        <v>#DIV/0!</v>
      </c>
      <c r="E37" s="165"/>
      <c r="F37" s="166"/>
    </row>
    <row r="38" spans="1:9" ht="13.5" thickBot="1" x14ac:dyDescent="0.25">
      <c r="D38" s="93" t="str">
        <f>"Grand Total " &amp; DATA!D1-1 &amp; " Revenue"</f>
        <v>Grand Total 2024 Revenue</v>
      </c>
      <c r="E38" s="135"/>
      <c r="F38" s="167">
        <f>SUM(F32+F35)</f>
        <v>0</v>
      </c>
    </row>
    <row r="39" spans="1:9" x14ac:dyDescent="0.2">
      <c r="E39" s="135"/>
    </row>
    <row r="40" spans="1:9" x14ac:dyDescent="0.2">
      <c r="E40" s="135"/>
    </row>
    <row r="41" spans="1:9" x14ac:dyDescent="0.2">
      <c r="B41" s="168">
        <f>SUM(F38)</f>
        <v>0</v>
      </c>
      <c r="C41" s="135" t="s">
        <v>60</v>
      </c>
      <c r="D41" s="168">
        <f>SUM(F13)</f>
        <v>0</v>
      </c>
      <c r="E41" s="135" t="s">
        <v>61</v>
      </c>
      <c r="F41" s="151" t="e">
        <f>ROUNDUP(F43,3)</f>
        <v>#DIV/0!</v>
      </c>
    </row>
    <row r="42" spans="1:9" x14ac:dyDescent="0.2">
      <c r="B42" s="147" t="str">
        <f>"Total " &amp; DATA!D1-1 &amp; " Revenue"</f>
        <v>Total 2024 Revenue</v>
      </c>
      <c r="C42" s="147"/>
      <c r="D42" s="146">
        <v>5</v>
      </c>
      <c r="E42" s="146"/>
      <c r="F42" s="169" t="s">
        <v>62</v>
      </c>
    </row>
    <row r="43" spans="1:9" x14ac:dyDescent="0.2">
      <c r="E43" s="135"/>
      <c r="F43" s="134" t="e">
        <f>SUM(B41/D41)*100</f>
        <v>#DIV/0!</v>
      </c>
      <c r="H43" s="170"/>
    </row>
    <row r="44" spans="1:9" x14ac:dyDescent="0.2">
      <c r="A44" s="136" t="s">
        <v>63</v>
      </c>
      <c r="E44" s="135"/>
      <c r="H44" s="170"/>
    </row>
    <row r="45" spans="1:9" x14ac:dyDescent="0.2">
      <c r="E45" s="135"/>
      <c r="H45" s="170"/>
    </row>
    <row r="46" spans="1:9" ht="15" x14ac:dyDescent="0.25">
      <c r="B46" s="168">
        <f>SUM(F14-F15)</f>
        <v>0</v>
      </c>
      <c r="C46" s="93" t="s">
        <v>51</v>
      </c>
      <c r="D46" s="171" t="e">
        <f>IF(F41&gt;F24,F41,F24)</f>
        <v>#DIV/0!</v>
      </c>
      <c r="E46" s="135" t="s">
        <v>64</v>
      </c>
      <c r="F46" s="150" t="e">
        <f>SUM(B46)/100*D46</f>
        <v>#DIV/0!</v>
      </c>
      <c r="H46" s="170"/>
    </row>
    <row r="47" spans="1:9" x14ac:dyDescent="0.2">
      <c r="B47" s="146" t="s">
        <v>56</v>
      </c>
      <c r="C47" s="146"/>
      <c r="D47" s="146" t="s">
        <v>65</v>
      </c>
      <c r="E47" s="146"/>
      <c r="F47" s="146" t="s">
        <v>66</v>
      </c>
      <c r="H47" s="170"/>
    </row>
    <row r="48" spans="1:9" x14ac:dyDescent="0.2">
      <c r="E48" s="135"/>
      <c r="F48" s="93" t="s">
        <v>34</v>
      </c>
      <c r="H48" s="170"/>
    </row>
    <row r="49" spans="1:8" x14ac:dyDescent="0.2">
      <c r="B49" s="168" t="e">
        <f>SUM(F46)</f>
        <v>#DIV/0!</v>
      </c>
      <c r="C49" s="93" t="s">
        <v>67</v>
      </c>
      <c r="D49" s="168">
        <f>SUM(B46)</f>
        <v>0</v>
      </c>
      <c r="E49" s="135" t="s">
        <v>68</v>
      </c>
      <c r="F49" s="151" t="e">
        <f>ROUNDDOWN(F51,3)</f>
        <v>#DIV/0!</v>
      </c>
      <c r="H49" s="170"/>
    </row>
    <row r="50" spans="1:8" x14ac:dyDescent="0.2">
      <c r="B50" s="146" t="s">
        <v>66</v>
      </c>
      <c r="C50" s="147"/>
      <c r="D50" s="146" t="s">
        <v>56</v>
      </c>
      <c r="E50" s="146"/>
      <c r="F50" s="147" t="s">
        <v>69</v>
      </c>
      <c r="H50" s="170"/>
    </row>
    <row r="51" spans="1:8" x14ac:dyDescent="0.2">
      <c r="E51" s="135"/>
      <c r="F51" s="172" t="e">
        <f>SUM(F46*1.04)/D49*100</f>
        <v>#DIV/0!</v>
      </c>
      <c r="H51" s="170"/>
    </row>
    <row r="52" spans="1:8" x14ac:dyDescent="0.2">
      <c r="E52" s="135"/>
      <c r="H52" s="170"/>
    </row>
    <row r="53" spans="1:8" ht="13.5" thickBot="1" x14ac:dyDescent="0.25">
      <c r="B53" s="136" t="s">
        <v>0</v>
      </c>
      <c r="C53" s="173" t="s">
        <v>70</v>
      </c>
      <c r="D53" s="174"/>
      <c r="E53" s="135"/>
      <c r="H53" s="170"/>
    </row>
    <row r="54" spans="1:8" ht="15.75" thickBot="1" x14ac:dyDescent="0.3">
      <c r="B54" s="175">
        <f>DATA!H47+DATA!H49</f>
        <v>0</v>
      </c>
      <c r="C54" s="135" t="s">
        <v>71</v>
      </c>
      <c r="D54" s="117">
        <f>+DATA!D9</f>
        <v>0</v>
      </c>
      <c r="E54" s="135" t="s">
        <v>72</v>
      </c>
      <c r="F54" s="176">
        <f>SUM(B54*D54)/100</f>
        <v>0</v>
      </c>
      <c r="H54" s="170"/>
    </row>
    <row r="55" spans="1:8" x14ac:dyDescent="0.2">
      <c r="B55" s="177" t="s">
        <v>73</v>
      </c>
      <c r="D55" s="177" t="s">
        <v>74</v>
      </c>
      <c r="E55" s="135"/>
      <c r="F55" s="177" t="s">
        <v>75</v>
      </c>
      <c r="H55" s="170"/>
    </row>
    <row r="56" spans="1:8" x14ac:dyDescent="0.2">
      <c r="A56" s="178" t="s">
        <v>76</v>
      </c>
      <c r="E56" s="135"/>
      <c r="H56" s="170"/>
    </row>
    <row r="57" spans="1:8" x14ac:dyDescent="0.2">
      <c r="H57" s="170"/>
    </row>
  </sheetData>
  <sheetProtection algorithmName="SHA-512" hashValue="zBtL8lmHdzc0hclqFnMcglyNbiAnJog6vnSMlyQ+HpW+9u07Fc9yNlWjmKAQDsBCI6o61lQvCtDbJYSjZuxF7Q==" saltValue="B+afKrvUzlyE43eZR3paSw==" spinCount="100000" sheet="1" objects="1" scenarios="1" selectLockedCells="1" selectUnlockedCells="1"/>
  <mergeCells count="7">
    <mergeCell ref="A1:G1"/>
    <mergeCell ref="A7:G7"/>
    <mergeCell ref="A6:G6"/>
    <mergeCell ref="A5:G5"/>
    <mergeCell ref="A4:G4"/>
    <mergeCell ref="A3:G3"/>
    <mergeCell ref="A2:G2"/>
  </mergeCells>
  <conditionalFormatting sqref="D37">
    <cfRule type="cellIs" dxfId="0" priority="1" stopIfTrue="1" operator="between">
      <formula>0</formula>
      <formula>-10000000</formula>
    </cfRule>
  </conditionalFormatting>
  <printOptions horizontalCentered="1"/>
  <pageMargins left="0.5" right="0" top="0.25" bottom="0" header="0.3" footer="0"/>
  <pageSetup scale="86" orientation="portrait" r:id="rId1"/>
  <headerFooter alignWithMargins="0">
    <oddHeader>&amp;R&amp;9LF 2009EV - Rev. 08/02/2024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2"/>
  <sheetViews>
    <sheetView showGridLines="0" zoomScaleNormal="100" workbookViewId="0">
      <selection activeCell="F11" sqref="F11"/>
    </sheetView>
  </sheetViews>
  <sheetFormatPr defaultColWidth="8.85546875" defaultRowHeight="12.75" x14ac:dyDescent="0.2"/>
  <cols>
    <col min="1" max="1" width="8.85546875" style="1"/>
    <col min="2" max="2" width="21.5703125" style="1" customWidth="1"/>
    <col min="3" max="3" width="8.85546875" style="1"/>
    <col min="4" max="4" width="21.42578125" style="1" customWidth="1"/>
    <col min="5" max="5" width="8.85546875" style="1"/>
    <col min="6" max="6" width="21.140625" style="1" customWidth="1"/>
    <col min="7" max="16384" width="8.85546875" style="1"/>
  </cols>
  <sheetData>
    <row r="1" spans="1:9" ht="84" customHeight="1" x14ac:dyDescent="0.2">
      <c r="A1" s="207"/>
      <c r="B1" s="207"/>
      <c r="C1" s="207"/>
      <c r="D1" s="207"/>
      <c r="E1" s="207"/>
      <c r="F1" s="207"/>
      <c r="G1" s="207"/>
    </row>
    <row r="2" spans="1:9" s="55" customFormat="1" ht="18.75" x14ac:dyDescent="0.3">
      <c r="A2" s="211" t="s">
        <v>47</v>
      </c>
      <c r="B2" s="211"/>
      <c r="C2" s="211"/>
      <c r="D2" s="211"/>
      <c r="E2" s="211"/>
      <c r="F2" s="211"/>
      <c r="G2" s="211"/>
    </row>
    <row r="3" spans="1:9" s="55" customFormat="1" ht="18.75" x14ac:dyDescent="0.3">
      <c r="A3" s="211" t="s">
        <v>48</v>
      </c>
      <c r="B3" s="211"/>
      <c r="C3" s="211"/>
      <c r="D3" s="211"/>
      <c r="E3" s="211"/>
      <c r="F3" s="211"/>
      <c r="G3" s="211"/>
    </row>
    <row r="4" spans="1:9" s="55" customFormat="1" ht="18.75" x14ac:dyDescent="0.3">
      <c r="A4" s="211" t="s">
        <v>77</v>
      </c>
      <c r="B4" s="211"/>
      <c r="C4" s="211"/>
      <c r="D4" s="211"/>
      <c r="E4" s="211"/>
      <c r="F4" s="211"/>
      <c r="G4" s="211"/>
    </row>
    <row r="5" spans="1:9" ht="15.75" x14ac:dyDescent="0.25">
      <c r="A5" s="210">
        <f>+REAL!A5</f>
        <v>0</v>
      </c>
      <c r="B5" s="210"/>
      <c r="C5" s="210"/>
      <c r="D5" s="210"/>
      <c r="E5" s="210"/>
      <c r="F5" s="210"/>
      <c r="G5" s="210"/>
      <c r="H5" s="59"/>
      <c r="I5" s="59"/>
    </row>
    <row r="6" spans="1:9" s="58" customFormat="1" ht="21" x14ac:dyDescent="0.3">
      <c r="A6" s="209">
        <f>+REAL!A6</f>
        <v>0</v>
      </c>
      <c r="B6" s="209"/>
      <c r="C6" s="209"/>
      <c r="D6" s="209"/>
      <c r="E6" s="209"/>
      <c r="F6" s="209"/>
      <c r="G6" s="209"/>
    </row>
    <row r="7" spans="1:9" ht="19.899999999999999" customHeight="1" x14ac:dyDescent="0.2">
      <c r="A7" s="208">
        <f>+REAL!A7</f>
        <v>0</v>
      </c>
      <c r="B7" s="208"/>
      <c r="C7" s="208"/>
      <c r="D7" s="208"/>
      <c r="E7" s="208"/>
      <c r="F7" s="208"/>
      <c r="G7" s="208"/>
    </row>
    <row r="8" spans="1:9" ht="15" x14ac:dyDescent="0.25">
      <c r="A8" s="33"/>
      <c r="C8" s="33"/>
      <c r="D8" s="41"/>
      <c r="E8" s="32"/>
    </row>
    <row r="9" spans="1:9" ht="15" x14ac:dyDescent="0.25">
      <c r="A9" s="46">
        <v>1</v>
      </c>
      <c r="B9" s="1" t="str">
        <f>DATA!D1-1 &amp; " Actual Tax Rate (per $100) Real Property"</f>
        <v>2024 Actual Tax Rate (per $100) Real Property</v>
      </c>
      <c r="C9" s="33"/>
      <c r="D9" s="41"/>
      <c r="E9" s="32"/>
      <c r="F9" s="47">
        <f>REAL!F9</f>
        <v>0</v>
      </c>
    </row>
    <row r="10" spans="1:9" ht="15" x14ac:dyDescent="0.25">
      <c r="A10" s="46">
        <v>2</v>
      </c>
      <c r="B10" s="1" t="str">
        <f>DATA!D1-1 &amp; " Actual Tax Rate (per $100) Personal Property"</f>
        <v>2024 Actual Tax Rate (per $100) Personal Property</v>
      </c>
      <c r="C10" s="33"/>
      <c r="D10" s="41"/>
      <c r="E10" s="32"/>
      <c r="F10" s="47">
        <f>REAL!F10</f>
        <v>0</v>
      </c>
    </row>
    <row r="11" spans="1:9" ht="15" x14ac:dyDescent="0.25">
      <c r="A11" s="46">
        <v>3</v>
      </c>
      <c r="B11" s="1" t="str">
        <f>DATA!D1 &amp; " Actual Tax Rate (per$100) Real Property"</f>
        <v>2025 Actual Tax Rate (per$100) Real Property</v>
      </c>
      <c r="C11" s="33"/>
      <c r="D11" s="41"/>
      <c r="E11" s="32" t="s">
        <v>34</v>
      </c>
      <c r="F11" s="73"/>
    </row>
    <row r="12" spans="1:9" ht="15" x14ac:dyDescent="0.25">
      <c r="A12" s="46">
        <v>4</v>
      </c>
      <c r="B12" s="1" t="str">
        <f>DATA!D1-1 &amp; " Real Property Subject to Rate (col 1, F, H)"</f>
        <v>2024 Real Property Subject to Rate (col 1, F, H)</v>
      </c>
      <c r="C12" s="33"/>
      <c r="D12" s="41"/>
      <c r="E12" s="32" t="s">
        <v>34</v>
      </c>
      <c r="F12" s="45">
        <f>REAL!F12</f>
        <v>0</v>
      </c>
    </row>
    <row r="13" spans="1:9" ht="15" x14ac:dyDescent="0.25">
      <c r="A13" s="46">
        <v>5</v>
      </c>
      <c r="B13" s="1" t="str">
        <f>DATA!D1 &amp; " Total Property Subject to Rate (col 3, F,G,H,I,J)"</f>
        <v>2025 Total Property Subject to Rate (col 3, F,G,H,I,J)</v>
      </c>
      <c r="C13" s="33"/>
      <c r="D13" s="41"/>
      <c r="E13" s="32" t="s">
        <v>34</v>
      </c>
      <c r="F13" s="43">
        <f>REAL!F14</f>
        <v>0</v>
      </c>
    </row>
    <row r="14" spans="1:9" ht="15" x14ac:dyDescent="0.25">
      <c r="A14" s="46">
        <v>6</v>
      </c>
      <c r="B14" s="1" t="str">
        <f>DATA!D1-1 &amp; " Personal Property Subject to Rate (Col 1, G, I, J) "</f>
        <v xml:space="preserve">2024 Personal Property Subject to Rate (Col 1, G, I, J) </v>
      </c>
      <c r="C14" s="33"/>
      <c r="D14" s="41"/>
      <c r="E14" s="32"/>
      <c r="F14" s="45">
        <f>REAL!F16</f>
        <v>0</v>
      </c>
    </row>
    <row r="15" spans="1:9" ht="15" x14ac:dyDescent="0.25">
      <c r="A15" s="46">
        <v>7</v>
      </c>
      <c r="B15" s="1" t="str">
        <f>DATA!D1 &amp; " Personal Property Subject to Rate (Col 3, G, I J)"</f>
        <v>2025 Personal Property Subject to Rate (Col 3, G, I J)</v>
      </c>
      <c r="C15" s="33"/>
      <c r="D15" s="41"/>
      <c r="E15" s="32"/>
      <c r="F15" s="45">
        <f>REAL!F17</f>
        <v>0</v>
      </c>
    </row>
    <row r="16" spans="1:9"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35">
        <f>F11</f>
        <v>0</v>
      </c>
      <c r="E19" s="32" t="s">
        <v>52</v>
      </c>
      <c r="F19" s="43">
        <f>SUM(B19)/100*D19</f>
        <v>0</v>
      </c>
    </row>
    <row r="20" spans="1:6" x14ac:dyDescent="0.2">
      <c r="A20" s="33"/>
      <c r="B20" s="9">
        <v>5</v>
      </c>
      <c r="C20" s="15"/>
      <c r="D20" s="42" t="s">
        <v>79</v>
      </c>
      <c r="E20" s="15"/>
      <c r="F20" s="9" t="str">
        <f>"A " &amp; DATA!D1 &amp; " RE Revenue"</f>
        <v>A 2025 RE Revenue</v>
      </c>
    </row>
    <row r="21" spans="1:6" ht="15" x14ac:dyDescent="0.25">
      <c r="A21" s="33"/>
      <c r="C21" s="32"/>
      <c r="D21" s="41"/>
      <c r="E21" s="32"/>
    </row>
    <row r="22" spans="1:6" ht="15" x14ac:dyDescent="0.25">
      <c r="A22" s="33"/>
      <c r="B22" s="40">
        <f>SUM(F12)</f>
        <v>0</v>
      </c>
      <c r="C22" s="32" t="s">
        <v>51</v>
      </c>
      <c r="D22" s="35">
        <f>SUM(F9)</f>
        <v>0</v>
      </c>
      <c r="E22" s="32" t="s">
        <v>52</v>
      </c>
      <c r="F22" s="39">
        <f>SUM(B22)/100*D22</f>
        <v>0</v>
      </c>
    </row>
    <row r="23" spans="1:6" x14ac:dyDescent="0.2">
      <c r="A23" s="33"/>
      <c r="B23" s="9">
        <v>4</v>
      </c>
      <c r="C23" s="15"/>
      <c r="D23" s="15">
        <v>1</v>
      </c>
      <c r="E23" s="15"/>
      <c r="F23" s="9" t="str">
        <f>"B " &amp; DATA!D1-1 &amp; " RE Revenue"</f>
        <v>B 2024 RE Revenue</v>
      </c>
    </row>
    <row r="24" spans="1:6" x14ac:dyDescent="0.2">
      <c r="A24" s="33"/>
      <c r="B24" s="9"/>
      <c r="C24" s="15"/>
      <c r="D24" s="15"/>
      <c r="E24" s="15"/>
      <c r="F24" s="9"/>
    </row>
    <row r="25" spans="1:6" x14ac:dyDescent="0.2">
      <c r="A25" s="33"/>
      <c r="B25" s="14">
        <f>SUM(F19)</f>
        <v>0</v>
      </c>
      <c r="C25" s="32" t="s">
        <v>80</v>
      </c>
      <c r="D25" s="14">
        <f>SUM(F22)</f>
        <v>0</v>
      </c>
      <c r="E25" s="32" t="s">
        <v>52</v>
      </c>
      <c r="F25" s="14">
        <f>SUM(B25-D25)</f>
        <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f>SUM(F25)</f>
        <v>0</v>
      </c>
      <c r="C28" s="15" t="s">
        <v>82</v>
      </c>
      <c r="D28" s="14">
        <f>SUM(F22)</f>
        <v>0</v>
      </c>
      <c r="E28" s="15"/>
      <c r="F28" s="31"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6" x14ac:dyDescent="0.2">
      <c r="A33" s="33"/>
      <c r="B33" s="14">
        <f>SUM(F15)</f>
        <v>0</v>
      </c>
      <c r="C33" s="33" t="s">
        <v>51</v>
      </c>
      <c r="D33" s="36">
        <f>F11</f>
        <v>0</v>
      </c>
      <c r="E33" s="32" t="s">
        <v>52</v>
      </c>
      <c r="F33" s="14">
        <f>SUM(B33)/100*D33</f>
        <v>0</v>
      </c>
    </row>
    <row r="34" spans="1:6" x14ac:dyDescent="0.2">
      <c r="A34" s="33"/>
      <c r="B34" s="15">
        <v>7</v>
      </c>
      <c r="C34" s="33"/>
      <c r="D34" s="15" t="s">
        <v>79</v>
      </c>
      <c r="E34" s="32"/>
      <c r="F34" s="9" t="str">
        <f>"E " &amp; DATA!D1 &amp; " PP Revenue"</f>
        <v>E 2025 PP Revenue</v>
      </c>
    </row>
    <row r="35" spans="1:6" x14ac:dyDescent="0.2">
      <c r="A35" s="33"/>
      <c r="B35" s="15"/>
      <c r="C35" s="33"/>
      <c r="D35" s="15"/>
      <c r="E35" s="32"/>
      <c r="F35" s="15"/>
    </row>
    <row r="36" spans="1:6" x14ac:dyDescent="0.2">
      <c r="A36" s="33"/>
      <c r="B36" s="14">
        <f>SUM(F14)</f>
        <v>0</v>
      </c>
      <c r="C36" s="33" t="s">
        <v>51</v>
      </c>
      <c r="D36" s="35">
        <f>SUM(F10)</f>
        <v>0</v>
      </c>
      <c r="E36" s="32" t="s">
        <v>52</v>
      </c>
      <c r="F36" s="14">
        <f>SUM(B36)/100*D36</f>
        <v>0</v>
      </c>
    </row>
    <row r="37" spans="1:6" x14ac:dyDescent="0.2">
      <c r="A37" s="33"/>
      <c r="B37" s="15" t="s">
        <v>87</v>
      </c>
      <c r="C37" s="33"/>
      <c r="D37" s="15" t="s">
        <v>88</v>
      </c>
      <c r="E37" s="32"/>
      <c r="F37" s="9" t="str">
        <f>"F " &amp; DATA!D1-1 &amp; " PP Revenue"</f>
        <v>F 2024 PP Revenue</v>
      </c>
    </row>
    <row r="38" spans="1:6" x14ac:dyDescent="0.2">
      <c r="A38" s="33"/>
      <c r="B38" s="15"/>
      <c r="C38" s="33"/>
      <c r="D38" s="15"/>
      <c r="E38" s="32"/>
      <c r="F38" s="15"/>
    </row>
    <row r="39" spans="1:6" x14ac:dyDescent="0.2">
      <c r="A39" s="33"/>
      <c r="B39" s="14">
        <f>SUM(F33)</f>
        <v>0</v>
      </c>
      <c r="C39" s="33" t="s">
        <v>80</v>
      </c>
      <c r="D39" s="14">
        <f>SUM(F36)</f>
        <v>0</v>
      </c>
      <c r="E39" s="32" t="s">
        <v>52</v>
      </c>
      <c r="F39" s="14">
        <f>SUM(B39-D39)</f>
        <v>0</v>
      </c>
    </row>
    <row r="40" spans="1:6" x14ac:dyDescent="0.2">
      <c r="A40" s="33"/>
      <c r="B40" s="15" t="s">
        <v>89</v>
      </c>
      <c r="C40" s="33"/>
      <c r="D40" s="15" t="s">
        <v>90</v>
      </c>
      <c r="E40" s="32"/>
      <c r="F40" s="15" t="s">
        <v>91</v>
      </c>
    </row>
    <row r="41" spans="1:6" x14ac:dyDescent="0.2">
      <c r="A41" s="33"/>
      <c r="B41" s="15"/>
      <c r="C41" s="33"/>
      <c r="D41" s="15"/>
      <c r="E41" s="32"/>
      <c r="F41" s="15"/>
    </row>
    <row r="42" spans="1:6" x14ac:dyDescent="0.2">
      <c r="A42" s="33"/>
      <c r="B42" s="14">
        <f>SUM(F39)</f>
        <v>0</v>
      </c>
      <c r="C42" s="15" t="s">
        <v>82</v>
      </c>
      <c r="D42" s="14">
        <f>SUM(F36)</f>
        <v>0</v>
      </c>
      <c r="E42" s="32" t="s">
        <v>52</v>
      </c>
      <c r="F42" s="31" t="e">
        <f>SUM(B42/D42)</f>
        <v>#DIV/0!</v>
      </c>
    </row>
    <row r="43" spans="1:6" x14ac:dyDescent="0.2">
      <c r="A43" s="33"/>
      <c r="B43" s="15" t="s">
        <v>92</v>
      </c>
      <c r="C43" s="33"/>
      <c r="D43" s="15" t="s">
        <v>90</v>
      </c>
      <c r="E43" s="32"/>
      <c r="F43" s="15" t="s">
        <v>93</v>
      </c>
    </row>
    <row r="44" spans="1:6" x14ac:dyDescent="0.2">
      <c r="A44" s="33"/>
      <c r="B44" s="15"/>
      <c r="C44" s="33"/>
      <c r="D44" s="15"/>
      <c r="E44" s="32"/>
      <c r="F44" s="15"/>
    </row>
    <row r="45" spans="1:6" x14ac:dyDescent="0.2">
      <c r="A45" s="34" t="s">
        <v>94</v>
      </c>
      <c r="B45" s="2" t="s">
        <v>95</v>
      </c>
      <c r="C45" s="33"/>
      <c r="D45" s="15"/>
      <c r="E45" s="32"/>
      <c r="F45" s="15"/>
    </row>
    <row r="46" spans="1:6" x14ac:dyDescent="0.2">
      <c r="A46" s="33"/>
      <c r="B46" s="24" t="s">
        <v>96</v>
      </c>
      <c r="C46" s="33"/>
      <c r="D46" s="15"/>
      <c r="E46" s="32"/>
      <c r="F46" s="15"/>
    </row>
    <row r="47" spans="1:6" x14ac:dyDescent="0.2">
      <c r="A47" s="33"/>
      <c r="B47" s="24"/>
      <c r="C47" s="33"/>
      <c r="D47" s="15"/>
      <c r="E47" s="32"/>
      <c r="F47" s="15"/>
    </row>
    <row r="48" spans="1:6" x14ac:dyDescent="0.2">
      <c r="A48" s="27" t="s">
        <v>97</v>
      </c>
      <c r="B48" s="31" t="e">
        <f>SUM(F42)</f>
        <v>#DIV/0!</v>
      </c>
      <c r="C48" s="27" t="s">
        <v>98</v>
      </c>
      <c r="D48" s="25"/>
      <c r="E48" s="25"/>
      <c r="F48" s="30" t="e">
        <f>SUM(F28)</f>
        <v>#DIV/0!</v>
      </c>
    </row>
    <row r="49" spans="1:13" x14ac:dyDescent="0.2">
      <c r="A49" s="27"/>
      <c r="B49" s="25" t="s">
        <v>99</v>
      </c>
      <c r="C49" s="27"/>
      <c r="D49" s="25"/>
      <c r="E49" s="25"/>
      <c r="F49" s="29" t="s">
        <v>100</v>
      </c>
    </row>
    <row r="50" spans="1:13" x14ac:dyDescent="0.2">
      <c r="A50" s="16" t="str">
        <f>"The maximum personal tax rate for " &amp; DATA!D1 &amp; " is"</f>
        <v>The maximum personal tax rate for 2025 is</v>
      </c>
      <c r="B50" s="26"/>
      <c r="C50" s="27"/>
      <c r="D50" s="26"/>
      <c r="E50" s="25"/>
      <c r="F50" s="28">
        <f>SUM(F11)</f>
        <v>0</v>
      </c>
      <c r="M50" s="27"/>
    </row>
    <row r="51" spans="1:13" x14ac:dyDescent="0.2">
      <c r="A51" s="27"/>
      <c r="B51" s="26"/>
      <c r="C51" s="27"/>
      <c r="D51" s="26"/>
      <c r="E51" s="25"/>
      <c r="F51" s="25">
        <v>3</v>
      </c>
    </row>
    <row r="52" spans="1:13" x14ac:dyDescent="0.2">
      <c r="B52" s="24" t="s">
        <v>101</v>
      </c>
    </row>
    <row r="54" spans="1:13" x14ac:dyDescent="0.2">
      <c r="A54" s="16" t="s">
        <v>97</v>
      </c>
      <c r="B54" s="23" t="e">
        <f>SUM(F42)</f>
        <v>#DIV/0!</v>
      </c>
      <c r="C54" s="16" t="s">
        <v>102</v>
      </c>
      <c r="D54" s="16"/>
      <c r="E54" s="16"/>
      <c r="F54" s="22" t="e">
        <f>SUM(F28)</f>
        <v>#DIV/0!</v>
      </c>
    </row>
    <row r="55" spans="1:13" x14ac:dyDescent="0.2">
      <c r="A55" s="16"/>
      <c r="B55" s="17" t="s">
        <v>99</v>
      </c>
      <c r="C55" s="16"/>
      <c r="D55" s="16"/>
      <c r="E55" s="16"/>
      <c r="F55" s="17" t="s">
        <v>100</v>
      </c>
    </row>
    <row r="56" spans="1:13" x14ac:dyDescent="0.2">
      <c r="A56" s="16" t="s">
        <v>103</v>
      </c>
      <c r="B56" s="16"/>
      <c r="C56" s="16"/>
      <c r="D56" s="16"/>
      <c r="E56" s="16"/>
      <c r="F56" s="16"/>
    </row>
    <row r="57" spans="1:13" x14ac:dyDescent="0.2">
      <c r="A57" s="16"/>
      <c r="B57" s="21">
        <f>SUM(D42)</f>
        <v>0</v>
      </c>
      <c r="C57" s="17" t="s">
        <v>104</v>
      </c>
      <c r="D57" s="20" t="e">
        <f>SUM(F48+1)</f>
        <v>#DIV/0!</v>
      </c>
      <c r="E57" s="19" t="s">
        <v>52</v>
      </c>
      <c r="F57" s="18" t="e">
        <f>SUM(B57*D57)</f>
        <v>#DIV/0!</v>
      </c>
    </row>
    <row r="58" spans="1:13" x14ac:dyDescent="0.2">
      <c r="A58" s="16"/>
      <c r="B58" s="17" t="s">
        <v>90</v>
      </c>
      <c r="C58" s="16"/>
      <c r="D58" s="17" t="s">
        <v>105</v>
      </c>
      <c r="E58" s="16"/>
      <c r="F58" s="16" t="str">
        <f>"J (" &amp; DATA!D1 &amp; " Revenue $ Max PP)"</f>
        <v>J (2025 Revenue $ Max PP)</v>
      </c>
    </row>
    <row r="60" spans="1:13" x14ac:dyDescent="0.2">
      <c r="B60" s="4" t="e">
        <f>SUM(F57)</f>
        <v>#DIV/0!</v>
      </c>
      <c r="C60" s="15" t="s">
        <v>82</v>
      </c>
      <c r="D60" s="14">
        <f>SUM(F15)</f>
        <v>0</v>
      </c>
      <c r="E60" s="1" t="s">
        <v>106</v>
      </c>
      <c r="F60" s="13" t="e">
        <f>SUM((B60)/D60*100)</f>
        <v>#DIV/0!</v>
      </c>
    </row>
    <row r="61" spans="1:13" x14ac:dyDescent="0.2">
      <c r="B61" s="12" t="s">
        <v>107</v>
      </c>
      <c r="D61" s="12">
        <v>7</v>
      </c>
      <c r="F61" s="11" t="str">
        <f>"Maximum " &amp; DATA!D1 &amp; " PP Rate"</f>
        <v>Maximum 2025 PP Rate</v>
      </c>
    </row>
    <row r="62" spans="1:13" x14ac:dyDescent="0.2">
      <c r="A62" s="2" t="s">
        <v>108</v>
      </c>
    </row>
  </sheetData>
  <sheetProtection algorithmName="SHA-512" hashValue="A4sA1tlOadrV8Z6BRzC8N+ptM8MmNmIzVWCFwl+gS1OCcrLcLR6+Km/CerKyczXPkN6qHUX5Z+DciPZI3K2OhA==" saltValue="mq3BllRzcY9Jq25ymMi0Gg==" spinCount="100000" sheet="1" selectLockedCells="1"/>
  <mergeCells count="7">
    <mergeCell ref="A1:G1"/>
    <mergeCell ref="A7:G7"/>
    <mergeCell ref="A6:G6"/>
    <mergeCell ref="A5:G5"/>
    <mergeCell ref="A4:G4"/>
    <mergeCell ref="A3:G3"/>
    <mergeCell ref="A2:G2"/>
  </mergeCells>
  <printOptions horizontalCentered="1"/>
  <pageMargins left="0.25" right="0.25" top="0" bottom="0" header="0.3" footer="0.05"/>
  <pageSetup scale="81" orientation="portrait" r:id="rId1"/>
  <headerFooter alignWithMargins="0">
    <oddHeader>&amp;R&amp;9LF 2009EV - Rev. 08/02/2024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2"/>
  <sheetViews>
    <sheetView showGridLines="0" zoomScaleNormal="100" workbookViewId="0">
      <selection activeCell="N9" sqref="N9"/>
    </sheetView>
  </sheetViews>
  <sheetFormatPr defaultColWidth="8.85546875" defaultRowHeight="12.75" x14ac:dyDescent="0.2"/>
  <cols>
    <col min="1" max="1" width="8.85546875" style="1"/>
    <col min="2" max="2" width="21" style="1" customWidth="1"/>
    <col min="3" max="3" width="8.85546875" style="1"/>
    <col min="4" max="4" width="21.42578125" style="1" customWidth="1"/>
    <col min="5" max="5" width="8.85546875" style="1"/>
    <col min="6" max="6" width="21.85546875" style="1" customWidth="1"/>
    <col min="7" max="16384" width="8.85546875" style="1"/>
  </cols>
  <sheetData>
    <row r="1" spans="1:10" ht="84" customHeight="1" x14ac:dyDescent="0.2">
      <c r="A1" s="207"/>
      <c r="B1" s="207"/>
      <c r="C1" s="207"/>
      <c r="D1" s="207"/>
      <c r="E1" s="207"/>
      <c r="F1" s="207"/>
      <c r="G1" s="207"/>
    </row>
    <row r="2" spans="1:10" s="55" customFormat="1" ht="18.75" x14ac:dyDescent="0.3">
      <c r="A2" s="211" t="s">
        <v>47</v>
      </c>
      <c r="B2" s="212"/>
      <c r="C2" s="212"/>
      <c r="D2" s="212"/>
      <c r="E2" s="212"/>
      <c r="F2" s="212"/>
      <c r="G2" s="212"/>
      <c r="H2" s="72"/>
      <c r="I2" s="72"/>
      <c r="J2" s="72"/>
    </row>
    <row r="3" spans="1:10" s="55" customFormat="1" ht="18.75" x14ac:dyDescent="0.3">
      <c r="A3" s="211" t="s">
        <v>48</v>
      </c>
      <c r="B3" s="212"/>
      <c r="C3" s="212"/>
      <c r="D3" s="212"/>
      <c r="E3" s="212"/>
      <c r="F3" s="212"/>
      <c r="G3" s="212"/>
      <c r="H3" s="79"/>
      <c r="I3" s="80"/>
      <c r="J3" s="80"/>
    </row>
    <row r="4" spans="1:10" s="55" customFormat="1" ht="18.75" x14ac:dyDescent="0.3">
      <c r="A4" s="211" t="s">
        <v>109</v>
      </c>
      <c r="B4" s="212"/>
      <c r="C4" s="212"/>
      <c r="D4" s="212"/>
      <c r="E4" s="212"/>
      <c r="F4" s="212"/>
      <c r="G4" s="212"/>
      <c r="H4" s="79"/>
      <c r="I4" s="80"/>
      <c r="J4" s="80"/>
    </row>
    <row r="5" spans="1:10" ht="15.75" x14ac:dyDescent="0.25">
      <c r="A5" s="210">
        <f>+REAL!A5</f>
        <v>0</v>
      </c>
      <c r="B5" s="215"/>
      <c r="C5" s="215"/>
      <c r="D5" s="215"/>
      <c r="E5" s="215"/>
      <c r="F5" s="215"/>
      <c r="G5" s="192"/>
      <c r="H5" s="59"/>
    </row>
    <row r="6" spans="1:10" s="58" customFormat="1" ht="21" x14ac:dyDescent="0.3">
      <c r="A6" s="209">
        <f>+REAL!A6</f>
        <v>0</v>
      </c>
      <c r="B6" s="213"/>
      <c r="C6" s="213"/>
      <c r="D6" s="213"/>
      <c r="E6" s="213"/>
      <c r="F6" s="213"/>
      <c r="G6" s="213"/>
      <c r="H6" s="56"/>
      <c r="I6" s="56"/>
      <c r="J6" s="57"/>
    </row>
    <row r="7" spans="1:10" ht="19.899999999999999" customHeight="1" x14ac:dyDescent="0.25">
      <c r="A7" s="208">
        <f>+REAL!A7</f>
        <v>0</v>
      </c>
      <c r="B7" s="214"/>
      <c r="C7" s="214"/>
      <c r="D7" s="214"/>
      <c r="E7" s="214"/>
      <c r="F7" s="214"/>
      <c r="G7" s="214"/>
      <c r="J7"/>
    </row>
    <row r="8" spans="1:10" ht="15" x14ac:dyDescent="0.25">
      <c r="A8" s="33"/>
      <c r="C8" s="33"/>
      <c r="D8" s="41"/>
      <c r="E8" s="32"/>
    </row>
    <row r="9" spans="1:10" ht="15" x14ac:dyDescent="0.25">
      <c r="A9" s="46">
        <v>1</v>
      </c>
      <c r="B9" s="1" t="str">
        <f>'Per-Manual'!B9</f>
        <v>2024 Actual Tax Rate (per $100) Real Property</v>
      </c>
      <c r="C9" s="33"/>
      <c r="D9" s="41"/>
      <c r="E9" s="32"/>
      <c r="F9" s="47">
        <f>REAL!F9</f>
        <v>0</v>
      </c>
    </row>
    <row r="10" spans="1:10" ht="15" x14ac:dyDescent="0.25">
      <c r="A10" s="46">
        <v>2</v>
      </c>
      <c r="B10" s="1" t="str">
        <f>'Per-Manual'!B10</f>
        <v>2024 Actual Tax Rate (per $100) Personal Property</v>
      </c>
      <c r="C10" s="33"/>
      <c r="D10" s="41"/>
      <c r="E10" s="32"/>
      <c r="F10" s="47">
        <f>REAL!F10</f>
        <v>0</v>
      </c>
    </row>
    <row r="11" spans="1:10" ht="15" x14ac:dyDescent="0.25">
      <c r="A11" s="46">
        <v>3</v>
      </c>
      <c r="B11" s="1" t="str">
        <f>'Per-Manual'!B11</f>
        <v>2025 Actual Tax Rate (per$100) Real Property</v>
      </c>
      <c r="C11" s="33"/>
      <c r="D11" s="41"/>
      <c r="E11" s="32" t="s">
        <v>34</v>
      </c>
      <c r="F11" s="3" t="e">
        <f>REAL!F41</f>
        <v>#DIV/0!</v>
      </c>
    </row>
    <row r="12" spans="1:10" ht="15" x14ac:dyDescent="0.25">
      <c r="A12" s="46">
        <v>4</v>
      </c>
      <c r="B12" s="1" t="str">
        <f>'Per-Manual'!B12</f>
        <v>2024 Real Property Subject to Rate (col 1, F, H)</v>
      </c>
      <c r="C12" s="33"/>
      <c r="D12" s="41"/>
      <c r="E12" s="32" t="s">
        <v>34</v>
      </c>
      <c r="F12" s="45">
        <f>REAL!F12</f>
        <v>0</v>
      </c>
    </row>
    <row r="13" spans="1:10" ht="15" x14ac:dyDescent="0.25">
      <c r="A13" s="46">
        <v>5</v>
      </c>
      <c r="B13" s="1" t="str">
        <f>'Per-Manual'!B13</f>
        <v>2025 Total Property Subject to Rate (col 3, F,G,H,I,J)</v>
      </c>
      <c r="C13" s="33"/>
      <c r="D13" s="41"/>
      <c r="E13" s="32" t="s">
        <v>34</v>
      </c>
      <c r="F13" s="43">
        <f>REAL!F14</f>
        <v>0</v>
      </c>
    </row>
    <row r="14" spans="1:10" ht="15" x14ac:dyDescent="0.25">
      <c r="A14" s="46">
        <v>6</v>
      </c>
      <c r="B14" s="1" t="str">
        <f>'Per-Manual'!B14</f>
        <v xml:space="preserve">2024 Personal Property Subject to Rate (Col 1, G, I, J) </v>
      </c>
      <c r="C14" s="33"/>
      <c r="D14" s="41"/>
      <c r="E14" s="32"/>
      <c r="F14" s="45">
        <f>REAL!F16</f>
        <v>0</v>
      </c>
    </row>
    <row r="15" spans="1:10" ht="15" x14ac:dyDescent="0.25">
      <c r="A15" s="46">
        <v>7</v>
      </c>
      <c r="B15" s="1" t="str">
        <f>'Per-Manual'!B15</f>
        <v>2025 Personal Property Subject to Rate (Col 3, G, I J)</v>
      </c>
      <c r="C15" s="33"/>
      <c r="D15" s="41"/>
      <c r="E15" s="32"/>
      <c r="F15" s="45">
        <f>REAL!F17</f>
        <v>0</v>
      </c>
    </row>
    <row r="16" spans="1:10"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54" t="e">
        <f>SUM(F11)</f>
        <v>#DIV/0!</v>
      </c>
      <c r="E19" s="32" t="s">
        <v>52</v>
      </c>
      <c r="F19" s="43" t="e">
        <f>SUM(B19)/100*D19</f>
        <v>#DIV/0!</v>
      </c>
    </row>
    <row r="20" spans="1:6" x14ac:dyDescent="0.2">
      <c r="A20" s="33"/>
      <c r="B20" s="9">
        <v>5</v>
      </c>
      <c r="C20" s="15"/>
      <c r="D20" s="42" t="s">
        <v>79</v>
      </c>
      <c r="E20" s="15"/>
      <c r="F20" s="9" t="str">
        <f>'Per-Manual'!F20</f>
        <v>A 2025 RE Revenue</v>
      </c>
    </row>
    <row r="21" spans="1:6" ht="15" x14ac:dyDescent="0.25">
      <c r="A21" s="33"/>
      <c r="C21" s="32"/>
      <c r="D21" s="41"/>
      <c r="E21" s="32"/>
    </row>
    <row r="22" spans="1:6" ht="15" x14ac:dyDescent="0.25">
      <c r="A22" s="33"/>
      <c r="B22" s="40">
        <f>SUM(F12)</f>
        <v>0</v>
      </c>
      <c r="C22" s="32" t="s">
        <v>51</v>
      </c>
      <c r="D22" s="35">
        <f>SUM(F9)</f>
        <v>0</v>
      </c>
      <c r="E22" s="32" t="s">
        <v>52</v>
      </c>
      <c r="F22" s="39">
        <f>SUM(B22)/100*D22</f>
        <v>0</v>
      </c>
    </row>
    <row r="23" spans="1:6" x14ac:dyDescent="0.2">
      <c r="A23" s="33"/>
      <c r="B23" s="9">
        <v>4</v>
      </c>
      <c r="C23" s="15"/>
      <c r="D23" s="15">
        <v>1</v>
      </c>
      <c r="E23" s="15"/>
      <c r="F23" s="9" t="str">
        <f>'Per-Manual'!F23</f>
        <v>B 2024 RE Revenue</v>
      </c>
    </row>
    <row r="24" spans="1:6" x14ac:dyDescent="0.2">
      <c r="A24" s="33"/>
      <c r="B24" s="9"/>
      <c r="C24" s="15"/>
      <c r="D24" s="15"/>
      <c r="E24" s="15"/>
      <c r="F24" s="9"/>
    </row>
    <row r="25" spans="1:6" x14ac:dyDescent="0.2">
      <c r="A25" s="33"/>
      <c r="B25" s="14" t="e">
        <f>SUM(F19)</f>
        <v>#DIV/0!</v>
      </c>
      <c r="C25" s="32" t="s">
        <v>80</v>
      </c>
      <c r="D25" s="14">
        <f>SUM(F22)</f>
        <v>0</v>
      </c>
      <c r="E25" s="32" t="s">
        <v>52</v>
      </c>
      <c r="F25" s="14" t="e">
        <f>SUM(B25-D25)</f>
        <v>#DIV/0!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t="e">
        <f>SUM(F25)</f>
        <v>#DIV/0!</v>
      </c>
      <c r="C28" s="15" t="s">
        <v>82</v>
      </c>
      <c r="D28" s="14">
        <f>SUM(F22)</f>
        <v>0</v>
      </c>
      <c r="E28" s="15"/>
      <c r="F28" s="31"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6" x14ac:dyDescent="0.2">
      <c r="A33" s="33"/>
      <c r="B33" s="14">
        <f>SUM(F15)</f>
        <v>0</v>
      </c>
      <c r="C33" s="33" t="s">
        <v>51</v>
      </c>
      <c r="D33" s="35" t="e">
        <f>SUM(F11)</f>
        <v>#DIV/0!</v>
      </c>
      <c r="E33" s="32" t="s">
        <v>52</v>
      </c>
      <c r="F33" s="14" t="e">
        <f>SUM(B33)/100*D33</f>
        <v>#DIV/0!</v>
      </c>
    </row>
    <row r="34" spans="1:6" x14ac:dyDescent="0.2">
      <c r="A34" s="33"/>
      <c r="B34" s="15">
        <v>7</v>
      </c>
      <c r="C34" s="33"/>
      <c r="D34" s="15" t="s">
        <v>79</v>
      </c>
      <c r="E34" s="32"/>
      <c r="F34" s="15" t="str">
        <f>'Per-Manual'!F34</f>
        <v>E 2025 PP Revenue</v>
      </c>
    </row>
    <row r="35" spans="1:6" x14ac:dyDescent="0.2">
      <c r="A35" s="33"/>
      <c r="B35" s="15"/>
      <c r="C35" s="33"/>
      <c r="D35" s="15"/>
      <c r="E35" s="32"/>
      <c r="F35" s="15"/>
    </row>
    <row r="36" spans="1:6" x14ac:dyDescent="0.2">
      <c r="A36" s="33"/>
      <c r="B36" s="14">
        <f>SUM(F14)</f>
        <v>0</v>
      </c>
      <c r="C36" s="33" t="s">
        <v>51</v>
      </c>
      <c r="D36" s="36">
        <f>SUM(F10)</f>
        <v>0</v>
      </c>
      <c r="E36" s="32" t="s">
        <v>52</v>
      </c>
      <c r="F36" s="14">
        <f>SUM(B36)/100*D36</f>
        <v>0</v>
      </c>
    </row>
    <row r="37" spans="1:6" x14ac:dyDescent="0.2">
      <c r="A37" s="33"/>
      <c r="B37" s="15" t="s">
        <v>87</v>
      </c>
      <c r="C37" s="33"/>
      <c r="D37" s="15" t="s">
        <v>88</v>
      </c>
      <c r="E37" s="32"/>
      <c r="F37" s="15" t="str">
        <f>'Per-Manual'!F37</f>
        <v>F 2024 PP Revenue</v>
      </c>
    </row>
    <row r="38" spans="1:6" x14ac:dyDescent="0.2">
      <c r="A38" s="33"/>
      <c r="B38" s="15"/>
      <c r="C38" s="33"/>
      <c r="D38" s="15"/>
      <c r="E38" s="32"/>
      <c r="F38" s="15"/>
    </row>
    <row r="39" spans="1:6" x14ac:dyDescent="0.2">
      <c r="A39" s="33"/>
      <c r="B39" s="14" t="e">
        <f>SUM(F33)</f>
        <v>#DIV/0!</v>
      </c>
      <c r="C39" s="33" t="s">
        <v>80</v>
      </c>
      <c r="D39" s="14">
        <f>SUM(F36)</f>
        <v>0</v>
      </c>
      <c r="E39" s="32" t="s">
        <v>52</v>
      </c>
      <c r="F39" s="14" t="e">
        <f>SUM(B39-D39)</f>
        <v>#DIV/0!</v>
      </c>
    </row>
    <row r="40" spans="1:6" x14ac:dyDescent="0.2">
      <c r="A40" s="33"/>
      <c r="B40" s="15" t="s">
        <v>89</v>
      </c>
      <c r="C40" s="33"/>
      <c r="D40" s="15" t="s">
        <v>90</v>
      </c>
      <c r="E40" s="32"/>
      <c r="F40" s="15" t="s">
        <v>91</v>
      </c>
    </row>
    <row r="41" spans="1:6" x14ac:dyDescent="0.2">
      <c r="A41" s="33"/>
      <c r="B41" s="15"/>
      <c r="C41" s="33"/>
      <c r="D41" s="15"/>
      <c r="E41" s="32"/>
      <c r="F41" s="15"/>
    </row>
    <row r="42" spans="1:6" x14ac:dyDescent="0.2">
      <c r="A42" s="33"/>
      <c r="B42" s="14" t="e">
        <f>SUM(F39)</f>
        <v>#DIV/0!</v>
      </c>
      <c r="C42" s="15" t="s">
        <v>82</v>
      </c>
      <c r="D42" s="14">
        <f>SUM(F36)</f>
        <v>0</v>
      </c>
      <c r="E42" s="32" t="s">
        <v>52</v>
      </c>
      <c r="F42" s="31" t="e">
        <f>SUM(B42/D42)</f>
        <v>#DIV/0!</v>
      </c>
    </row>
    <row r="43" spans="1:6" x14ac:dyDescent="0.2">
      <c r="A43" s="33"/>
      <c r="B43" s="15" t="s">
        <v>92</v>
      </c>
      <c r="C43" s="33"/>
      <c r="D43" s="15" t="s">
        <v>90</v>
      </c>
      <c r="E43" s="32"/>
      <c r="F43" s="15" t="s">
        <v>93</v>
      </c>
    </row>
    <row r="44" spans="1:6" x14ac:dyDescent="0.2">
      <c r="A44" s="33"/>
      <c r="B44" s="15"/>
      <c r="C44" s="33"/>
      <c r="D44" s="15"/>
      <c r="E44" s="32"/>
      <c r="F44" s="15"/>
    </row>
    <row r="45" spans="1:6" x14ac:dyDescent="0.2">
      <c r="A45" s="34" t="s">
        <v>94</v>
      </c>
      <c r="B45" s="2" t="s">
        <v>95</v>
      </c>
      <c r="C45" s="33"/>
      <c r="D45" s="15"/>
      <c r="E45" s="32"/>
      <c r="F45" s="15"/>
    </row>
    <row r="46" spans="1:6" x14ac:dyDescent="0.2">
      <c r="A46" s="33"/>
      <c r="B46" s="24" t="s">
        <v>96</v>
      </c>
      <c r="C46" s="33"/>
      <c r="D46" s="15"/>
      <c r="E46" s="32"/>
      <c r="F46" s="15"/>
    </row>
    <row r="47" spans="1:6" x14ac:dyDescent="0.2">
      <c r="A47" s="33"/>
      <c r="B47" s="24"/>
      <c r="C47" s="33"/>
      <c r="D47" s="15"/>
      <c r="E47" s="32"/>
      <c r="F47" s="15"/>
    </row>
    <row r="48" spans="1:6" x14ac:dyDescent="0.2">
      <c r="A48" s="27" t="s">
        <v>97</v>
      </c>
      <c r="B48" s="31" t="e">
        <f>SUM(F42)</f>
        <v>#DIV/0!</v>
      </c>
      <c r="C48" s="27" t="s">
        <v>98</v>
      </c>
      <c r="D48" s="25"/>
      <c r="E48" s="25"/>
      <c r="F48" s="31" t="e">
        <f>SUM(F28)</f>
        <v>#DIV/0!</v>
      </c>
    </row>
    <row r="49" spans="1:6" x14ac:dyDescent="0.2">
      <c r="A49" s="27"/>
      <c r="B49" s="25" t="s">
        <v>99</v>
      </c>
      <c r="C49" s="27"/>
      <c r="D49" s="25"/>
      <c r="E49" s="25"/>
      <c r="F49" s="25" t="s">
        <v>100</v>
      </c>
    </row>
    <row r="50" spans="1:6" x14ac:dyDescent="0.2">
      <c r="A50" s="27" t="str">
        <f>'Per-Manual'!A50</f>
        <v>The maximum personal tax rate for 2025 is</v>
      </c>
      <c r="B50" s="26"/>
      <c r="C50" s="27"/>
      <c r="D50" s="26"/>
      <c r="E50" s="25"/>
      <c r="F50" s="28" t="e">
        <f>SUM(F11)</f>
        <v>#DIV/0!</v>
      </c>
    </row>
    <row r="51" spans="1:6" x14ac:dyDescent="0.2">
      <c r="A51" s="27"/>
      <c r="B51" s="26"/>
      <c r="C51" s="27"/>
      <c r="D51" s="26"/>
      <c r="E51" s="25"/>
      <c r="F51" s="25">
        <v>3</v>
      </c>
    </row>
    <row r="52" spans="1:6" x14ac:dyDescent="0.2">
      <c r="B52" s="24" t="s">
        <v>101</v>
      </c>
    </row>
    <row r="54" spans="1:6" x14ac:dyDescent="0.2">
      <c r="A54" s="16" t="s">
        <v>97</v>
      </c>
      <c r="B54" s="23" t="e">
        <f>SUM(F42)</f>
        <v>#DIV/0!</v>
      </c>
      <c r="C54" s="16" t="s">
        <v>102</v>
      </c>
      <c r="D54" s="16"/>
      <c r="E54" s="16"/>
      <c r="F54" s="22" t="e">
        <f>SUM(F28)</f>
        <v>#DIV/0!</v>
      </c>
    </row>
    <row r="55" spans="1:6" x14ac:dyDescent="0.2">
      <c r="A55" s="16"/>
      <c r="B55" s="17" t="s">
        <v>99</v>
      </c>
      <c r="C55" s="16"/>
      <c r="D55" s="16"/>
      <c r="E55" s="16"/>
      <c r="F55" s="17" t="s">
        <v>100</v>
      </c>
    </row>
    <row r="56" spans="1:6" x14ac:dyDescent="0.2">
      <c r="A56" s="16" t="s">
        <v>103</v>
      </c>
      <c r="B56" s="16"/>
      <c r="C56" s="16"/>
      <c r="D56" s="16"/>
      <c r="E56" s="16"/>
      <c r="F56" s="16"/>
    </row>
    <row r="57" spans="1:6" x14ac:dyDescent="0.2">
      <c r="A57" s="16"/>
      <c r="B57" s="21">
        <f>SUM(D42)</f>
        <v>0</v>
      </c>
      <c r="C57" s="17" t="s">
        <v>104</v>
      </c>
      <c r="D57" s="31" t="e">
        <f>SUM(F48+1)</f>
        <v>#DIV/0!</v>
      </c>
      <c r="E57" s="19" t="s">
        <v>52</v>
      </c>
      <c r="F57" s="48" t="e">
        <f>SUM(B57*D57)</f>
        <v>#DIV/0!</v>
      </c>
    </row>
    <row r="58" spans="1:6" x14ac:dyDescent="0.2">
      <c r="A58" s="16"/>
      <c r="B58" s="17" t="s">
        <v>90</v>
      </c>
      <c r="C58" s="16"/>
      <c r="D58" s="17" t="s">
        <v>105</v>
      </c>
      <c r="E58" s="16"/>
      <c r="F58" s="16" t="str">
        <f>'Per-Manual'!F58</f>
        <v>J (2025 Revenue $ Max PP)</v>
      </c>
    </row>
    <row r="60" spans="1:6" x14ac:dyDescent="0.2">
      <c r="B60" s="39" t="e">
        <f>SUM(F57)</f>
        <v>#DIV/0!</v>
      </c>
      <c r="C60" s="15" t="s">
        <v>82</v>
      </c>
      <c r="D60" s="14">
        <f>SUM(F15)</f>
        <v>0</v>
      </c>
      <c r="E60" s="1" t="s">
        <v>106</v>
      </c>
      <c r="F60" s="13" t="e">
        <f>SUM((B60)/D60*100)</f>
        <v>#DIV/0!</v>
      </c>
    </row>
    <row r="61" spans="1:6" x14ac:dyDescent="0.2">
      <c r="B61" s="12" t="s">
        <v>107</v>
      </c>
      <c r="D61" s="12">
        <v>7</v>
      </c>
      <c r="F61" s="11" t="str">
        <f>'Per-Manual'!F61</f>
        <v>Maximum 2025 PP Rate</v>
      </c>
    </row>
    <row r="62" spans="1:6" x14ac:dyDescent="0.2">
      <c r="A62" s="2" t="s">
        <v>108</v>
      </c>
    </row>
  </sheetData>
  <sheetProtection algorithmName="SHA-512" hashValue="UNgwIxX+5rdIJIC+92X38FARPqPm0Ugr74MhP3MKHutyikDxodR0ZW4bhNrhH0C5hHsgu98lIrmqeq9J95JP/A==" saltValue="HEXvHiH/f4biQ9yamkYIfg==" spinCount="100000" sheet="1" selectLockedCells="1"/>
  <mergeCells count="7">
    <mergeCell ref="A4:G4"/>
    <mergeCell ref="A1:G1"/>
    <mergeCell ref="A6:G6"/>
    <mergeCell ref="A7:G7"/>
    <mergeCell ref="A5:G5"/>
    <mergeCell ref="A2:G2"/>
    <mergeCell ref="A3:G3"/>
  </mergeCells>
  <printOptions horizontalCentered="1"/>
  <pageMargins left="0.25" right="0" top="0.25" bottom="0.5" header="0.05" footer="0.25"/>
  <pageSetup scale="63" orientation="portrait" r:id="rId1"/>
  <headerFooter alignWithMargins="0">
    <oddHeader>&amp;R&amp;9LF 2009EV - Rev. 08/02/2024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3"/>
  <sheetViews>
    <sheetView showGridLines="0" zoomScaleNormal="100" workbookViewId="0">
      <selection activeCell="J9" sqref="J9"/>
    </sheetView>
  </sheetViews>
  <sheetFormatPr defaultColWidth="8.85546875" defaultRowHeight="12.75" x14ac:dyDescent="0.2"/>
  <cols>
    <col min="1" max="1" width="8.85546875" style="1"/>
    <col min="2" max="2" width="20.5703125" style="1" customWidth="1"/>
    <col min="3" max="3" width="8.85546875" style="1"/>
    <col min="4" max="4" width="23.7109375" style="1" customWidth="1"/>
    <col min="5" max="5" width="8.85546875" style="1"/>
    <col min="6" max="6" width="20" style="1" customWidth="1"/>
    <col min="7" max="7" width="9.140625" style="1" customWidth="1"/>
    <col min="8" max="8" width="8.85546875" style="1"/>
    <col min="9" max="9" width="8" style="1" customWidth="1"/>
    <col min="10" max="16384" width="8.85546875" style="1"/>
  </cols>
  <sheetData>
    <row r="1" spans="1:10" ht="80.25" customHeight="1" x14ac:dyDescent="0.2">
      <c r="A1" s="207"/>
      <c r="B1" s="207"/>
      <c r="C1" s="207"/>
      <c r="D1" s="207"/>
      <c r="E1" s="207"/>
      <c r="F1" s="207"/>
      <c r="G1" s="207"/>
    </row>
    <row r="2" spans="1:10" s="55" customFormat="1" ht="18.75" x14ac:dyDescent="0.3">
      <c r="A2" s="211" t="s">
        <v>47</v>
      </c>
      <c r="B2" s="212"/>
      <c r="C2" s="212"/>
      <c r="D2" s="212"/>
      <c r="E2" s="212"/>
      <c r="F2" s="212"/>
      <c r="G2" s="212"/>
      <c r="H2" s="72"/>
      <c r="I2" s="72"/>
      <c r="J2" s="72"/>
    </row>
    <row r="3" spans="1:10" s="55" customFormat="1" ht="18.75" x14ac:dyDescent="0.3">
      <c r="A3" s="211" t="s">
        <v>48</v>
      </c>
      <c r="B3" s="212"/>
      <c r="C3" s="212"/>
      <c r="D3" s="212"/>
      <c r="E3" s="212"/>
      <c r="F3" s="212"/>
      <c r="G3" s="212"/>
      <c r="H3" s="79"/>
      <c r="I3" s="80"/>
      <c r="J3" s="80"/>
    </row>
    <row r="4" spans="1:10" s="55" customFormat="1" ht="18.75" x14ac:dyDescent="0.3">
      <c r="A4" s="211" t="s">
        <v>110</v>
      </c>
      <c r="B4" s="212"/>
      <c r="C4" s="212"/>
      <c r="D4" s="212"/>
      <c r="E4" s="212"/>
      <c r="F4" s="212"/>
      <c r="G4" s="212"/>
      <c r="H4" s="79"/>
      <c r="I4" s="80"/>
      <c r="J4" s="80"/>
    </row>
    <row r="5" spans="1:10" ht="15.75" x14ac:dyDescent="0.25">
      <c r="A5" s="210">
        <f>+REAL!A5</f>
        <v>0</v>
      </c>
      <c r="B5" s="215"/>
      <c r="C5" s="215"/>
      <c r="D5" s="215"/>
      <c r="E5" s="215"/>
      <c r="F5" s="215"/>
      <c r="G5" s="192"/>
      <c r="H5" s="59"/>
      <c r="I5" s="59"/>
    </row>
    <row r="6" spans="1:10" s="58" customFormat="1" ht="21" x14ac:dyDescent="0.3">
      <c r="A6" s="209">
        <f>+REAL!A6</f>
        <v>0</v>
      </c>
      <c r="B6" s="213"/>
      <c r="C6" s="213"/>
      <c r="D6" s="213"/>
      <c r="E6" s="213"/>
      <c r="F6" s="213"/>
      <c r="G6" s="213"/>
      <c r="H6" s="56"/>
      <c r="I6" s="56"/>
      <c r="J6" s="57"/>
    </row>
    <row r="7" spans="1:10" ht="19.899999999999999" customHeight="1" x14ac:dyDescent="0.25">
      <c r="A7" s="208">
        <f>+REAL!A7</f>
        <v>0</v>
      </c>
      <c r="B7" s="214"/>
      <c r="C7" s="214"/>
      <c r="D7" s="214"/>
      <c r="E7" s="214"/>
      <c r="F7" s="214"/>
      <c r="G7" s="214"/>
      <c r="J7"/>
    </row>
    <row r="8" spans="1:10" ht="15" x14ac:dyDescent="0.25">
      <c r="A8" s="33"/>
      <c r="C8" s="33"/>
      <c r="D8" s="41"/>
      <c r="E8" s="32"/>
    </row>
    <row r="9" spans="1:10" ht="15" x14ac:dyDescent="0.25">
      <c r="A9" s="46">
        <v>1</v>
      </c>
      <c r="B9" s="1" t="str">
        <f>'Per-Manual'!B9</f>
        <v>2024 Actual Tax Rate (per $100) Real Property</v>
      </c>
      <c r="C9" s="33"/>
      <c r="D9" s="41"/>
      <c r="E9" s="32"/>
      <c r="F9" s="47">
        <f>REAL!F9</f>
        <v>0</v>
      </c>
    </row>
    <row r="10" spans="1:10" ht="15" x14ac:dyDescent="0.25">
      <c r="A10" s="46">
        <v>2</v>
      </c>
      <c r="B10" s="1" t="str">
        <f>'Per-Manual'!B10</f>
        <v>2024 Actual Tax Rate (per $100) Personal Property</v>
      </c>
      <c r="C10" s="33"/>
      <c r="D10" s="41"/>
      <c r="E10" s="32"/>
      <c r="F10" s="47">
        <f>REAL!F10</f>
        <v>0</v>
      </c>
    </row>
    <row r="11" spans="1:10" ht="15" x14ac:dyDescent="0.25">
      <c r="A11" s="46">
        <v>3</v>
      </c>
      <c r="B11" s="1" t="str">
        <f>'Per-Manual'!B11</f>
        <v>2025 Actual Tax Rate (per$100) Real Property</v>
      </c>
      <c r="C11" s="33"/>
      <c r="D11" s="41"/>
      <c r="E11" s="32" t="s">
        <v>34</v>
      </c>
      <c r="F11" s="3" t="e">
        <f>REAL!F24</f>
        <v>#DIV/0!</v>
      </c>
    </row>
    <row r="12" spans="1:10" ht="15" x14ac:dyDescent="0.25">
      <c r="A12" s="46">
        <v>4</v>
      </c>
      <c r="B12" s="1" t="str">
        <f>'Per-Manual'!B12</f>
        <v>2024 Real Property Subject to Rate (col 1, F, H)</v>
      </c>
      <c r="C12" s="33"/>
      <c r="D12" s="41"/>
      <c r="E12" s="32" t="s">
        <v>34</v>
      </c>
      <c r="F12" s="45">
        <f>REAL!F12</f>
        <v>0</v>
      </c>
    </row>
    <row r="13" spans="1:10" ht="15" x14ac:dyDescent="0.25">
      <c r="A13" s="46">
        <v>5</v>
      </c>
      <c r="B13" s="1" t="str">
        <f>'Per-Manual'!B13</f>
        <v>2025 Total Property Subject to Rate (col 3, F,G,H,I,J)</v>
      </c>
      <c r="C13" s="33"/>
      <c r="D13" s="41"/>
      <c r="E13" s="32" t="s">
        <v>34</v>
      </c>
      <c r="F13" s="43">
        <f>REAL!F14</f>
        <v>0</v>
      </c>
    </row>
    <row r="14" spans="1:10" ht="15" x14ac:dyDescent="0.25">
      <c r="A14" s="46">
        <v>6</v>
      </c>
      <c r="B14" s="1" t="str">
        <f>'Per-Manual'!B14</f>
        <v xml:space="preserve">2024 Personal Property Subject to Rate (Col 1, G, I, J) </v>
      </c>
      <c r="C14" s="33"/>
      <c r="D14" s="41"/>
      <c r="E14" s="32"/>
      <c r="F14" s="45">
        <f>REAL!F16</f>
        <v>0</v>
      </c>
    </row>
    <row r="15" spans="1:10" ht="15" x14ac:dyDescent="0.25">
      <c r="A15" s="46">
        <v>7</v>
      </c>
      <c r="B15" s="1" t="str">
        <f>'Per-Manual'!B15</f>
        <v>2025 Personal Property Subject to Rate (Col 3, G, I J)</v>
      </c>
      <c r="C15" s="33"/>
      <c r="D15" s="41"/>
      <c r="E15" s="32"/>
      <c r="F15" s="45">
        <f>REAL!F17</f>
        <v>0</v>
      </c>
    </row>
    <row r="16" spans="1:10"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52" t="e">
        <f>SUM(F11)</f>
        <v>#DIV/0!</v>
      </c>
      <c r="E19" s="32" t="s">
        <v>52</v>
      </c>
      <c r="F19" s="43" t="e">
        <f>SUM(B19)/100*D19</f>
        <v>#DIV/0!</v>
      </c>
    </row>
    <row r="20" spans="1:6" x14ac:dyDescent="0.2">
      <c r="A20" s="33"/>
      <c r="B20" s="9">
        <v>5</v>
      </c>
      <c r="C20" s="15"/>
      <c r="D20" s="42" t="s">
        <v>79</v>
      </c>
      <c r="E20" s="15"/>
      <c r="F20" s="9" t="str">
        <f>'Per-Manual'!F20</f>
        <v>A 2025 RE Revenue</v>
      </c>
    </row>
    <row r="21" spans="1:6" ht="15" x14ac:dyDescent="0.25">
      <c r="A21" s="33"/>
      <c r="C21" s="32"/>
      <c r="D21" s="41"/>
      <c r="E21" s="32"/>
    </row>
    <row r="22" spans="1:6" ht="15" x14ac:dyDescent="0.25">
      <c r="A22" s="33"/>
      <c r="B22" s="40">
        <f>SUM(F12)</f>
        <v>0</v>
      </c>
      <c r="C22" s="32" t="s">
        <v>51</v>
      </c>
      <c r="D22" s="13">
        <f>SUM(F9)</f>
        <v>0</v>
      </c>
      <c r="E22" s="32" t="s">
        <v>52</v>
      </c>
      <c r="F22" s="39">
        <f>SUM(B22)/100*D22</f>
        <v>0</v>
      </c>
    </row>
    <row r="23" spans="1:6" x14ac:dyDescent="0.2">
      <c r="A23" s="33"/>
      <c r="B23" s="9">
        <v>4</v>
      </c>
      <c r="C23" s="15"/>
      <c r="D23" s="15">
        <v>1</v>
      </c>
      <c r="E23" s="15"/>
      <c r="F23" s="9" t="str">
        <f>'Per-Manual'!F23</f>
        <v>B 2024 RE Revenue</v>
      </c>
    </row>
    <row r="24" spans="1:6" x14ac:dyDescent="0.2">
      <c r="A24" s="33"/>
      <c r="B24" s="9"/>
      <c r="C24" s="15"/>
      <c r="D24" s="15"/>
      <c r="E24" s="15"/>
      <c r="F24" s="9"/>
    </row>
    <row r="25" spans="1:6" x14ac:dyDescent="0.2">
      <c r="A25" s="33"/>
      <c r="B25" s="14" t="e">
        <f>SUM(F19)</f>
        <v>#DIV/0!</v>
      </c>
      <c r="C25" s="32" t="s">
        <v>80</v>
      </c>
      <c r="D25" s="14">
        <f>SUM(F22)</f>
        <v>0</v>
      </c>
      <c r="E25" s="32" t="s">
        <v>52</v>
      </c>
      <c r="F25" s="14" t="e">
        <f>SUM(B25-D25)</f>
        <v>#DIV/0!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t="e">
        <f>SUM(F25)</f>
        <v>#DIV/0!</v>
      </c>
      <c r="C28" s="15" t="s">
        <v>82</v>
      </c>
      <c r="D28" s="14">
        <f>SUM(F22)</f>
        <v>0</v>
      </c>
      <c r="E28" s="15"/>
      <c r="F28" s="35"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7" x14ac:dyDescent="0.2">
      <c r="A33" s="33"/>
      <c r="B33" s="14">
        <f>SUM(F15)</f>
        <v>0</v>
      </c>
      <c r="C33" s="33" t="s">
        <v>51</v>
      </c>
      <c r="D33" s="13" t="e">
        <f>SUM(F11)</f>
        <v>#DIV/0!</v>
      </c>
      <c r="E33" s="32" t="s">
        <v>52</v>
      </c>
      <c r="F33" s="14" t="e">
        <f>SUM(B33)/100*D33</f>
        <v>#DIV/0!</v>
      </c>
    </row>
    <row r="34" spans="1:7" x14ac:dyDescent="0.2">
      <c r="A34" s="33"/>
      <c r="B34" s="15">
        <v>7</v>
      </c>
      <c r="C34" s="33"/>
      <c r="D34" s="15" t="s">
        <v>79</v>
      </c>
      <c r="E34" s="32"/>
      <c r="F34" s="15" t="str">
        <f>'Per-Manual'!F34</f>
        <v>E 2025 PP Revenue</v>
      </c>
    </row>
    <row r="35" spans="1:7" x14ac:dyDescent="0.2">
      <c r="A35" s="33"/>
      <c r="B35" s="15"/>
      <c r="C35" s="33"/>
      <c r="D35" s="15"/>
      <c r="E35" s="32"/>
      <c r="F35" s="15"/>
    </row>
    <row r="36" spans="1:7" x14ac:dyDescent="0.2">
      <c r="A36" s="33"/>
      <c r="B36" s="14">
        <f>SUM(F14)</f>
        <v>0</v>
      </c>
      <c r="C36" s="33" t="s">
        <v>51</v>
      </c>
      <c r="D36" s="4">
        <f>SUM(F10)</f>
        <v>0</v>
      </c>
      <c r="E36" s="32" t="s">
        <v>52</v>
      </c>
      <c r="F36" s="14">
        <f>SUM(B36)/100*D36</f>
        <v>0</v>
      </c>
    </row>
    <row r="37" spans="1:7" x14ac:dyDescent="0.2">
      <c r="A37" s="33"/>
      <c r="B37" s="15" t="s">
        <v>87</v>
      </c>
      <c r="C37" s="33"/>
      <c r="D37" s="15" t="s">
        <v>88</v>
      </c>
      <c r="E37" s="32"/>
      <c r="F37" s="15" t="str">
        <f>'Per-Manual'!F37</f>
        <v>F 2024 PP Revenue</v>
      </c>
    </row>
    <row r="38" spans="1:7" x14ac:dyDescent="0.2">
      <c r="A38" s="33"/>
      <c r="B38" s="15"/>
      <c r="C38" s="33"/>
      <c r="D38" s="15"/>
      <c r="E38" s="32"/>
      <c r="F38" s="15"/>
    </row>
    <row r="39" spans="1:7" x14ac:dyDescent="0.2">
      <c r="A39" s="33"/>
      <c r="B39" s="14" t="e">
        <f>SUM(F33)</f>
        <v>#DIV/0!</v>
      </c>
      <c r="C39" s="33" t="s">
        <v>80</v>
      </c>
      <c r="D39" s="14">
        <f>SUM(F36)</f>
        <v>0</v>
      </c>
      <c r="E39" s="32" t="s">
        <v>52</v>
      </c>
      <c r="F39" s="14" t="e">
        <f>SUM(B39-D39)</f>
        <v>#DIV/0!</v>
      </c>
    </row>
    <row r="40" spans="1:7" x14ac:dyDescent="0.2">
      <c r="A40" s="33"/>
      <c r="B40" s="15" t="s">
        <v>89</v>
      </c>
      <c r="C40" s="33"/>
      <c r="D40" s="15" t="s">
        <v>90</v>
      </c>
      <c r="E40" s="32"/>
      <c r="F40" s="15" t="s">
        <v>91</v>
      </c>
    </row>
    <row r="41" spans="1:7" x14ac:dyDescent="0.2">
      <c r="A41" s="33"/>
      <c r="B41" s="15"/>
      <c r="C41" s="33"/>
      <c r="D41" s="15"/>
      <c r="E41" s="32"/>
      <c r="F41" s="15"/>
    </row>
    <row r="42" spans="1:7" x14ac:dyDescent="0.2">
      <c r="A42" s="33"/>
      <c r="B42" s="14" t="e">
        <f>SUM(F39)</f>
        <v>#DIV/0!</v>
      </c>
      <c r="C42" s="15" t="s">
        <v>82</v>
      </c>
      <c r="D42" s="14">
        <f>SUM(F36)</f>
        <v>0</v>
      </c>
      <c r="E42" s="32" t="s">
        <v>52</v>
      </c>
      <c r="F42" s="35" t="e">
        <f>SUM(B42/D42)</f>
        <v>#DIV/0!</v>
      </c>
    </row>
    <row r="43" spans="1:7" x14ac:dyDescent="0.2">
      <c r="A43" s="33"/>
      <c r="B43" s="15" t="s">
        <v>92</v>
      </c>
      <c r="C43" s="33"/>
      <c r="D43" s="15" t="s">
        <v>90</v>
      </c>
      <c r="E43" s="32"/>
      <c r="F43" s="15" t="s">
        <v>93</v>
      </c>
    </row>
    <row r="44" spans="1:7" x14ac:dyDescent="0.2">
      <c r="A44" s="33"/>
      <c r="B44" s="15"/>
      <c r="C44" s="33"/>
      <c r="D44" s="15"/>
      <c r="E44" s="32"/>
      <c r="F44" s="15"/>
    </row>
    <row r="45" spans="1:7" x14ac:dyDescent="0.2">
      <c r="A45" s="34" t="s">
        <v>94</v>
      </c>
      <c r="B45" s="2" t="s">
        <v>95</v>
      </c>
      <c r="C45" s="33"/>
      <c r="D45" s="15"/>
      <c r="E45" s="32"/>
      <c r="F45" s="15"/>
    </row>
    <row r="46" spans="1:7" x14ac:dyDescent="0.2">
      <c r="A46" s="33"/>
      <c r="B46" s="24" t="s">
        <v>96</v>
      </c>
      <c r="C46" s="33"/>
      <c r="D46" s="15"/>
      <c r="E46" s="32"/>
      <c r="F46" s="15"/>
    </row>
    <row r="47" spans="1:7" x14ac:dyDescent="0.2">
      <c r="A47" s="33"/>
      <c r="B47" s="24"/>
      <c r="C47" s="33"/>
      <c r="D47" s="15"/>
      <c r="E47" s="32"/>
      <c r="F47" s="15"/>
      <c r="G47" s="51"/>
    </row>
    <row r="48" spans="1:7" ht="15" x14ac:dyDescent="0.25">
      <c r="A48" s="27" t="s">
        <v>97</v>
      </c>
      <c r="B48" s="31" t="e">
        <f>SUM(F42)</f>
        <v>#DIV/0!</v>
      </c>
      <c r="C48" s="27" t="s">
        <v>98</v>
      </c>
      <c r="D48" s="25"/>
      <c r="E48" s="25"/>
      <c r="F48" s="50" t="e">
        <f>SUM(F28)</f>
        <v>#DIV/0!</v>
      </c>
      <c r="G48" s="49"/>
    </row>
    <row r="49" spans="1:6" x14ac:dyDescent="0.2">
      <c r="A49" s="27"/>
      <c r="B49" s="25" t="s">
        <v>99</v>
      </c>
      <c r="C49" s="27"/>
      <c r="D49" s="25"/>
      <c r="E49" s="25"/>
      <c r="F49" s="25" t="s">
        <v>100</v>
      </c>
    </row>
    <row r="50" spans="1:6" x14ac:dyDescent="0.2">
      <c r="A50" s="27" t="str">
        <f>'Per-Manual'!A50</f>
        <v>The maximum personal tax rate for 2025 is</v>
      </c>
      <c r="B50" s="26"/>
      <c r="C50" s="27"/>
      <c r="D50" s="26"/>
      <c r="E50" s="25"/>
      <c r="F50" s="28" t="e">
        <f>SUM(F11)</f>
        <v>#DIV/0!</v>
      </c>
    </row>
    <row r="51" spans="1:6" x14ac:dyDescent="0.2">
      <c r="A51" s="27"/>
      <c r="B51" s="26"/>
      <c r="C51" s="27"/>
      <c r="D51" s="26"/>
      <c r="E51" s="25"/>
      <c r="F51" s="25">
        <v>3</v>
      </c>
    </row>
    <row r="52" spans="1:6" x14ac:dyDescent="0.2">
      <c r="B52" s="24" t="s">
        <v>101</v>
      </c>
    </row>
    <row r="54" spans="1:6" x14ac:dyDescent="0.2">
      <c r="A54" s="16" t="s">
        <v>97</v>
      </c>
      <c r="B54" s="77" t="e">
        <f>SUM(F42)</f>
        <v>#DIV/0!</v>
      </c>
      <c r="C54" s="16" t="s">
        <v>102</v>
      </c>
      <c r="D54" s="16"/>
      <c r="E54" s="16"/>
      <c r="F54" s="22" t="e">
        <f>SUM(F28)</f>
        <v>#DIV/0!</v>
      </c>
    </row>
    <row r="55" spans="1:6" x14ac:dyDescent="0.2">
      <c r="A55" s="16"/>
      <c r="B55" s="17" t="s">
        <v>99</v>
      </c>
      <c r="C55" s="16"/>
      <c r="D55" s="16"/>
      <c r="E55" s="16"/>
      <c r="F55" s="17" t="s">
        <v>100</v>
      </c>
    </row>
    <row r="56" spans="1:6" x14ac:dyDescent="0.2">
      <c r="A56" s="16" t="s">
        <v>103</v>
      </c>
      <c r="B56" s="16"/>
      <c r="C56" s="16"/>
      <c r="D56" s="16"/>
      <c r="E56" s="16"/>
      <c r="F56" s="16"/>
    </row>
    <row r="57" spans="1:6" x14ac:dyDescent="0.2">
      <c r="A57" s="16"/>
      <c r="B57" s="21">
        <f>SUM(D42)</f>
        <v>0</v>
      </c>
      <c r="C57" s="17" t="s">
        <v>104</v>
      </c>
      <c r="D57" s="31" t="e">
        <f>SUM(F48+1)</f>
        <v>#DIV/0!</v>
      </c>
      <c r="E57" s="19" t="s">
        <v>52</v>
      </c>
      <c r="F57" s="48" t="e">
        <f>SUM(B57*D57)</f>
        <v>#DIV/0!</v>
      </c>
    </row>
    <row r="58" spans="1:6" x14ac:dyDescent="0.2">
      <c r="A58" s="16"/>
      <c r="B58" s="17" t="s">
        <v>90</v>
      </c>
      <c r="C58" s="16"/>
      <c r="D58" s="17" t="s">
        <v>105</v>
      </c>
      <c r="E58" s="16"/>
      <c r="F58" s="16" t="str">
        <f>'Per-Manual'!F58</f>
        <v>J (2025 Revenue $ Max PP)</v>
      </c>
    </row>
    <row r="60" spans="1:6" x14ac:dyDescent="0.2">
      <c r="B60" s="39" t="e">
        <f>SUM(F57)</f>
        <v>#DIV/0!</v>
      </c>
      <c r="C60" s="15" t="s">
        <v>82</v>
      </c>
      <c r="D60" s="14">
        <f>SUM(F15)</f>
        <v>0</v>
      </c>
      <c r="E60" s="1" t="s">
        <v>106</v>
      </c>
      <c r="F60" s="13" t="e">
        <f>SUM((B60)/D60*100)</f>
        <v>#DIV/0!</v>
      </c>
    </row>
    <row r="61" spans="1:6" x14ac:dyDescent="0.2">
      <c r="B61" s="12" t="s">
        <v>107</v>
      </c>
      <c r="D61" s="12">
        <v>7</v>
      </c>
      <c r="F61" s="11" t="str">
        <f>'Per-Manual'!F61</f>
        <v>Maximum 2025 PP Rate</v>
      </c>
    </row>
    <row r="63" spans="1:6" x14ac:dyDescent="0.2">
      <c r="A63" s="2" t="s">
        <v>108</v>
      </c>
    </row>
  </sheetData>
  <sheetProtection algorithmName="SHA-512" hashValue="ymdsCoYVDqnNJexmyw+fu4Sgr1VTjqcwJuRXQE4wxjlm0MgicZBCaMQ6Q2dl+aXX3EQLx/KmQPeSmAR78zz4kg==" saltValue="El9ZbY2x16jMvSjf6IdBPQ==" spinCount="100000" sheet="1" selectLockedCells="1"/>
  <mergeCells count="7">
    <mergeCell ref="A1:G1"/>
    <mergeCell ref="A6:G6"/>
    <mergeCell ref="A7:G7"/>
    <mergeCell ref="A2:G2"/>
    <mergeCell ref="A3:G3"/>
    <mergeCell ref="A4:G4"/>
    <mergeCell ref="A5:G5"/>
  </mergeCells>
  <printOptions horizontalCentered="1"/>
  <pageMargins left="0.5" right="0" top="0.25" bottom="0" header="0.3" footer="0"/>
  <pageSetup scale="66" orientation="portrait" r:id="rId1"/>
  <headerFooter alignWithMargins="0">
    <oddHeader>&amp;R&amp;9LF 2009EV - Rev. 08/02/2024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2"/>
  <sheetViews>
    <sheetView showGridLines="0" zoomScaleNormal="100" workbookViewId="0">
      <selection activeCell="K10" sqref="K10"/>
    </sheetView>
  </sheetViews>
  <sheetFormatPr defaultColWidth="8.85546875" defaultRowHeight="12.75" x14ac:dyDescent="0.2"/>
  <cols>
    <col min="1" max="1" width="8.85546875" style="1"/>
    <col min="2" max="2" width="19.85546875" style="1" customWidth="1"/>
    <col min="3" max="3" width="8.85546875" style="1"/>
    <col min="4" max="4" width="22.5703125" style="1" customWidth="1"/>
    <col min="5" max="5" width="6" style="1" customWidth="1"/>
    <col min="6" max="6" width="21.85546875" style="1" customWidth="1"/>
    <col min="7" max="16384" width="8.85546875" style="1"/>
  </cols>
  <sheetData>
    <row r="1" spans="1:10" ht="80.25" customHeight="1" x14ac:dyDescent="0.2">
      <c r="A1" s="207"/>
      <c r="B1" s="207"/>
      <c r="C1" s="207"/>
      <c r="D1" s="207"/>
      <c r="E1" s="207"/>
      <c r="F1" s="207"/>
      <c r="G1" s="207"/>
    </row>
    <row r="2" spans="1:10" s="55" customFormat="1" ht="18.75" x14ac:dyDescent="0.3">
      <c r="A2" s="211" t="s">
        <v>47</v>
      </c>
      <c r="B2" s="212"/>
      <c r="C2" s="212"/>
      <c r="D2" s="212"/>
      <c r="E2" s="212"/>
      <c r="F2" s="212"/>
      <c r="G2" s="212"/>
      <c r="H2" s="72"/>
      <c r="I2" s="72"/>
      <c r="J2" s="72"/>
    </row>
    <row r="3" spans="1:10" s="55" customFormat="1" ht="18.75" x14ac:dyDescent="0.3">
      <c r="A3" s="211" t="s">
        <v>48</v>
      </c>
      <c r="B3" s="212"/>
      <c r="C3" s="212"/>
      <c r="D3" s="212"/>
      <c r="E3" s="212"/>
      <c r="F3" s="212"/>
      <c r="G3" s="212"/>
      <c r="H3" s="79"/>
      <c r="I3" s="80"/>
      <c r="J3" s="80"/>
    </row>
    <row r="4" spans="1:10" s="55" customFormat="1" ht="18.75" x14ac:dyDescent="0.3">
      <c r="A4" s="211" t="s">
        <v>111</v>
      </c>
      <c r="B4" s="212"/>
      <c r="C4" s="212"/>
      <c r="D4" s="212"/>
      <c r="E4" s="212"/>
      <c r="F4" s="212"/>
      <c r="G4" s="212"/>
      <c r="H4" s="79"/>
      <c r="I4" s="80"/>
      <c r="J4" s="80"/>
    </row>
    <row r="5" spans="1:10" ht="15.75" x14ac:dyDescent="0.25">
      <c r="A5" s="210">
        <f>+REAL!A5</f>
        <v>0</v>
      </c>
      <c r="B5" s="215"/>
      <c r="C5" s="215"/>
      <c r="D5" s="215"/>
      <c r="E5" s="215"/>
      <c r="F5" s="215"/>
      <c r="G5" s="192"/>
      <c r="H5" s="59"/>
      <c r="I5" s="59"/>
    </row>
    <row r="6" spans="1:10" s="58" customFormat="1" ht="21" x14ac:dyDescent="0.3">
      <c r="A6" s="209">
        <f>+REAL!A6</f>
        <v>0</v>
      </c>
      <c r="B6" s="213"/>
      <c r="C6" s="213"/>
      <c r="D6" s="213"/>
      <c r="E6" s="213"/>
      <c r="F6" s="213"/>
      <c r="G6" s="213"/>
      <c r="H6" s="56"/>
      <c r="I6" s="56"/>
      <c r="J6" s="57"/>
    </row>
    <row r="7" spans="1:10" ht="19.899999999999999" customHeight="1" x14ac:dyDescent="0.25">
      <c r="A7" s="208">
        <f>+REAL!A7</f>
        <v>0</v>
      </c>
      <c r="B7" s="214"/>
      <c r="C7" s="214"/>
      <c r="D7" s="214"/>
      <c r="E7" s="214"/>
      <c r="F7" s="214"/>
      <c r="G7" s="214"/>
      <c r="J7"/>
    </row>
    <row r="8" spans="1:10" ht="15" x14ac:dyDescent="0.25">
      <c r="A8" s="33"/>
      <c r="C8" s="33"/>
      <c r="D8" s="41"/>
      <c r="E8" s="32"/>
    </row>
    <row r="9" spans="1:10" ht="15" x14ac:dyDescent="0.25">
      <c r="A9" s="46">
        <v>1</v>
      </c>
      <c r="B9" s="1" t="str">
        <f>'Per-Manual'!B9</f>
        <v>2024 Actual Tax Rate (per $100) Real Property</v>
      </c>
      <c r="C9" s="33"/>
      <c r="D9" s="41"/>
      <c r="E9" s="32"/>
      <c r="F9" s="47">
        <f>REAL!F9</f>
        <v>0</v>
      </c>
    </row>
    <row r="10" spans="1:10" ht="15" x14ac:dyDescent="0.25">
      <c r="A10" s="46">
        <v>2</v>
      </c>
      <c r="B10" s="1" t="str">
        <f>'Per-Manual'!B10</f>
        <v>2024 Actual Tax Rate (per $100) Personal Property</v>
      </c>
      <c r="C10" s="33"/>
      <c r="D10" s="41"/>
      <c r="E10" s="32"/>
      <c r="F10" s="47">
        <f>REAL!F10</f>
        <v>0</v>
      </c>
    </row>
    <row r="11" spans="1:10" ht="15" x14ac:dyDescent="0.25">
      <c r="A11" s="46">
        <v>3</v>
      </c>
      <c r="B11" s="1" t="str">
        <f>'Per-Manual'!B11</f>
        <v>2025 Actual Tax Rate (per$100) Real Property</v>
      </c>
      <c r="C11" s="33"/>
      <c r="D11" s="41"/>
      <c r="E11" s="32" t="s">
        <v>34</v>
      </c>
      <c r="F11" s="3" t="e">
        <f>REAL!F49</f>
        <v>#DIV/0!</v>
      </c>
    </row>
    <row r="12" spans="1:10" ht="15" x14ac:dyDescent="0.25">
      <c r="A12" s="46">
        <v>4</v>
      </c>
      <c r="B12" s="1" t="str">
        <f>'Per-Manual'!B12</f>
        <v>2024 Real Property Subject to Rate (col 1, F, H)</v>
      </c>
      <c r="C12" s="33"/>
      <c r="D12" s="41"/>
      <c r="E12" s="32" t="s">
        <v>34</v>
      </c>
      <c r="F12" s="45">
        <f>REAL!F12</f>
        <v>0</v>
      </c>
    </row>
    <row r="13" spans="1:10" ht="15" x14ac:dyDescent="0.25">
      <c r="A13" s="46">
        <v>5</v>
      </c>
      <c r="B13" s="1" t="str">
        <f>'Per-Manual'!B13</f>
        <v>2025 Total Property Subject to Rate (col 3, F,G,H,I,J)</v>
      </c>
      <c r="C13" s="33"/>
      <c r="D13" s="41"/>
      <c r="E13" s="32" t="s">
        <v>34</v>
      </c>
      <c r="F13" s="43">
        <f>REAL!F14</f>
        <v>0</v>
      </c>
    </row>
    <row r="14" spans="1:10" ht="15" x14ac:dyDescent="0.25">
      <c r="A14" s="46">
        <v>6</v>
      </c>
      <c r="B14" s="1" t="str">
        <f>'Per-Manual'!B14</f>
        <v xml:space="preserve">2024 Personal Property Subject to Rate (Col 1, G, I, J) </v>
      </c>
      <c r="C14" s="33"/>
      <c r="D14" s="41"/>
      <c r="E14" s="32"/>
      <c r="F14" s="45">
        <f>REAL!F16</f>
        <v>0</v>
      </c>
    </row>
    <row r="15" spans="1:10" ht="15" x14ac:dyDescent="0.25">
      <c r="A15" s="46">
        <v>7</v>
      </c>
      <c r="B15" s="1" t="str">
        <f>'Per-Manual'!B15</f>
        <v>2025 Personal Property Subject to Rate (Col 3, G, I J)</v>
      </c>
      <c r="C15" s="33"/>
      <c r="D15" s="41"/>
      <c r="E15" s="32"/>
      <c r="F15" s="45">
        <f>REAL!F17</f>
        <v>0</v>
      </c>
    </row>
    <row r="16" spans="1:10"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54" t="e">
        <f>SUM(F11)</f>
        <v>#DIV/0!</v>
      </c>
      <c r="E19" s="32" t="s">
        <v>52</v>
      </c>
      <c r="F19" s="43" t="e">
        <f>SUM(B19)/100*D19</f>
        <v>#DIV/0!</v>
      </c>
    </row>
    <row r="20" spans="1:6" x14ac:dyDescent="0.2">
      <c r="A20" s="33"/>
      <c r="B20" s="9">
        <v>5</v>
      </c>
      <c r="C20" s="15"/>
      <c r="D20" s="42" t="s">
        <v>79</v>
      </c>
      <c r="E20" s="15"/>
      <c r="F20" s="9" t="str">
        <f>'Per-Manual'!F20</f>
        <v>A 2025 RE Revenue</v>
      </c>
    </row>
    <row r="21" spans="1:6" ht="15" x14ac:dyDescent="0.25">
      <c r="A21" s="33"/>
      <c r="C21" s="32"/>
      <c r="D21" s="41"/>
      <c r="E21" s="32"/>
    </row>
    <row r="22" spans="1:6" ht="15" x14ac:dyDescent="0.25">
      <c r="A22" s="33"/>
      <c r="B22" s="40">
        <f>SUM(F12)</f>
        <v>0</v>
      </c>
      <c r="C22" s="32" t="s">
        <v>51</v>
      </c>
      <c r="D22" s="35">
        <f>SUM(F9)</f>
        <v>0</v>
      </c>
      <c r="E22" s="32" t="s">
        <v>52</v>
      </c>
      <c r="F22" s="39">
        <f>SUM(B22)/100*D22</f>
        <v>0</v>
      </c>
    </row>
    <row r="23" spans="1:6" x14ac:dyDescent="0.2">
      <c r="A23" s="33"/>
      <c r="B23" s="9">
        <v>4</v>
      </c>
      <c r="C23" s="15"/>
      <c r="D23" s="15">
        <v>1</v>
      </c>
      <c r="E23" s="15"/>
      <c r="F23" s="9" t="str">
        <f>'Per-Manual'!F23</f>
        <v>B 2024 RE Revenue</v>
      </c>
    </row>
    <row r="24" spans="1:6" x14ac:dyDescent="0.2">
      <c r="A24" s="33"/>
      <c r="B24" s="9"/>
      <c r="C24" s="15"/>
      <c r="D24" s="15"/>
      <c r="E24" s="15"/>
      <c r="F24" s="9"/>
    </row>
    <row r="25" spans="1:6" x14ac:dyDescent="0.2">
      <c r="A25" s="33"/>
      <c r="B25" s="14" t="e">
        <f>SUM(F19)</f>
        <v>#DIV/0!</v>
      </c>
      <c r="C25" s="32" t="s">
        <v>80</v>
      </c>
      <c r="D25" s="14">
        <f>SUM(F22)</f>
        <v>0</v>
      </c>
      <c r="E25" s="32" t="s">
        <v>52</v>
      </c>
      <c r="F25" s="14" t="e">
        <f>SUM(B25-D25)</f>
        <v>#DIV/0!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t="e">
        <f>SUM(F25)</f>
        <v>#DIV/0!</v>
      </c>
      <c r="C28" s="15" t="s">
        <v>82</v>
      </c>
      <c r="D28" s="14">
        <f>SUM(F22)</f>
        <v>0</v>
      </c>
      <c r="E28" s="15"/>
      <c r="F28" s="31"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6" x14ac:dyDescent="0.2">
      <c r="A33" s="33"/>
      <c r="B33" s="14">
        <f>SUM(F15)</f>
        <v>0</v>
      </c>
      <c r="C33" s="33" t="s">
        <v>51</v>
      </c>
      <c r="D33" s="35" t="e">
        <f>SUM(F11)</f>
        <v>#DIV/0!</v>
      </c>
      <c r="E33" s="32" t="s">
        <v>52</v>
      </c>
      <c r="F33" s="14" t="e">
        <f>SUM(B33)/100*D33</f>
        <v>#DIV/0!</v>
      </c>
    </row>
    <row r="34" spans="1:6" x14ac:dyDescent="0.2">
      <c r="A34" s="33"/>
      <c r="B34" s="15">
        <v>7</v>
      </c>
      <c r="C34" s="33"/>
      <c r="D34" s="15" t="s">
        <v>79</v>
      </c>
      <c r="E34" s="32"/>
      <c r="F34" s="15" t="str">
        <f>'Per-Manual'!F34</f>
        <v>E 2025 PP Revenue</v>
      </c>
    </row>
    <row r="35" spans="1:6" x14ac:dyDescent="0.2">
      <c r="A35" s="33"/>
      <c r="B35" s="15"/>
      <c r="C35" s="33"/>
      <c r="D35" s="15"/>
      <c r="E35" s="32"/>
      <c r="F35" s="15"/>
    </row>
    <row r="36" spans="1:6" x14ac:dyDescent="0.2">
      <c r="A36" s="33"/>
      <c r="B36" s="14">
        <f>SUM(F14)</f>
        <v>0</v>
      </c>
      <c r="C36" s="33" t="s">
        <v>51</v>
      </c>
      <c r="D36" s="36">
        <f>SUM(F10)</f>
        <v>0</v>
      </c>
      <c r="E36" s="32" t="s">
        <v>52</v>
      </c>
      <c r="F36" s="14">
        <f>SUM(B36)/100*D36</f>
        <v>0</v>
      </c>
    </row>
    <row r="37" spans="1:6" x14ac:dyDescent="0.2">
      <c r="A37" s="33"/>
      <c r="B37" s="15" t="s">
        <v>87</v>
      </c>
      <c r="C37" s="33"/>
      <c r="D37" s="15" t="s">
        <v>88</v>
      </c>
      <c r="E37" s="32"/>
      <c r="F37" s="15" t="str">
        <f>'Per-Manual'!F37</f>
        <v>F 2024 PP Revenue</v>
      </c>
    </row>
    <row r="38" spans="1:6" x14ac:dyDescent="0.2">
      <c r="A38" s="33"/>
      <c r="B38" s="15"/>
      <c r="C38" s="33"/>
      <c r="D38" s="15"/>
      <c r="E38" s="32"/>
      <c r="F38" s="15"/>
    </row>
    <row r="39" spans="1:6" x14ac:dyDescent="0.2">
      <c r="A39" s="33"/>
      <c r="B39" s="14" t="e">
        <f>SUM(F33)</f>
        <v>#DIV/0!</v>
      </c>
      <c r="C39" s="33" t="s">
        <v>80</v>
      </c>
      <c r="D39" s="14">
        <f>SUM(F36)</f>
        <v>0</v>
      </c>
      <c r="E39" s="32" t="s">
        <v>52</v>
      </c>
      <c r="F39" s="14" t="e">
        <f>SUM(B39-D39)</f>
        <v>#DIV/0!</v>
      </c>
    </row>
    <row r="40" spans="1:6" x14ac:dyDescent="0.2">
      <c r="A40" s="33"/>
      <c r="B40" s="15" t="s">
        <v>89</v>
      </c>
      <c r="C40" s="33"/>
      <c r="D40" s="15" t="s">
        <v>90</v>
      </c>
      <c r="E40" s="32"/>
      <c r="F40" s="15" t="s">
        <v>91</v>
      </c>
    </row>
    <row r="41" spans="1:6" x14ac:dyDescent="0.2">
      <c r="A41" s="33"/>
      <c r="B41" s="15"/>
      <c r="C41" s="33"/>
      <c r="D41" s="15"/>
      <c r="E41" s="32"/>
      <c r="F41" s="15"/>
    </row>
    <row r="42" spans="1:6" x14ac:dyDescent="0.2">
      <c r="A42" s="33"/>
      <c r="B42" s="14" t="e">
        <f>SUM(F39)</f>
        <v>#DIV/0!</v>
      </c>
      <c r="C42" s="15" t="s">
        <v>82</v>
      </c>
      <c r="D42" s="14">
        <f>SUM(F36)</f>
        <v>0</v>
      </c>
      <c r="E42" s="32" t="s">
        <v>52</v>
      </c>
      <c r="F42" s="31" t="e">
        <f>SUM(B42/D42)</f>
        <v>#DIV/0!</v>
      </c>
    </row>
    <row r="43" spans="1:6" x14ac:dyDescent="0.2">
      <c r="A43" s="33"/>
      <c r="B43" s="15" t="s">
        <v>92</v>
      </c>
      <c r="C43" s="33"/>
      <c r="D43" s="15" t="s">
        <v>90</v>
      </c>
      <c r="E43" s="32"/>
      <c r="F43" s="15" t="s">
        <v>93</v>
      </c>
    </row>
    <row r="44" spans="1:6" x14ac:dyDescent="0.2">
      <c r="A44" s="33"/>
      <c r="B44" s="15"/>
      <c r="C44" s="33"/>
      <c r="D44" s="15"/>
      <c r="E44" s="32"/>
      <c r="F44" s="15"/>
    </row>
    <row r="45" spans="1:6" x14ac:dyDescent="0.2">
      <c r="A45" s="34" t="s">
        <v>94</v>
      </c>
      <c r="B45" s="2" t="s">
        <v>95</v>
      </c>
      <c r="C45" s="33"/>
      <c r="D45" s="15"/>
      <c r="E45" s="32"/>
      <c r="F45" s="15"/>
    </row>
    <row r="46" spans="1:6" x14ac:dyDescent="0.2">
      <c r="A46" s="33"/>
      <c r="B46" s="24" t="s">
        <v>96</v>
      </c>
      <c r="C46" s="33"/>
      <c r="D46" s="15"/>
      <c r="E46" s="32"/>
      <c r="F46" s="15"/>
    </row>
    <row r="47" spans="1:6" x14ac:dyDescent="0.2">
      <c r="A47" s="33"/>
      <c r="B47" s="24"/>
      <c r="C47" s="33"/>
      <c r="D47" s="15"/>
      <c r="E47" s="32"/>
      <c r="F47" s="15"/>
    </row>
    <row r="48" spans="1:6" x14ac:dyDescent="0.2">
      <c r="A48" s="27" t="s">
        <v>97</v>
      </c>
      <c r="B48" s="31" t="e">
        <f>SUM(F42)</f>
        <v>#DIV/0!</v>
      </c>
      <c r="C48" s="27" t="s">
        <v>98</v>
      </c>
      <c r="D48" s="25"/>
      <c r="E48" s="25"/>
      <c r="F48" s="30" t="e">
        <f>SUM(F28)</f>
        <v>#DIV/0!</v>
      </c>
    </row>
    <row r="49" spans="1:6" x14ac:dyDescent="0.2">
      <c r="A49" s="27"/>
      <c r="B49" s="25" t="s">
        <v>99</v>
      </c>
      <c r="C49" s="27"/>
      <c r="D49" s="25"/>
      <c r="E49" s="25"/>
      <c r="F49" s="25" t="s">
        <v>100</v>
      </c>
    </row>
    <row r="50" spans="1:6" x14ac:dyDescent="0.2">
      <c r="A50" s="27" t="str">
        <f>'Per-Manual'!A50</f>
        <v>The maximum personal tax rate for 2025 is</v>
      </c>
      <c r="B50" s="26"/>
      <c r="C50" s="27"/>
      <c r="D50" s="26"/>
      <c r="E50" s="25"/>
      <c r="F50" s="28" t="e">
        <f>SUM(F11)</f>
        <v>#DIV/0!</v>
      </c>
    </row>
    <row r="51" spans="1:6" x14ac:dyDescent="0.2">
      <c r="A51" s="27"/>
      <c r="B51" s="26"/>
      <c r="C51" s="27"/>
      <c r="D51" s="26"/>
      <c r="E51" s="25"/>
      <c r="F51" s="25">
        <v>3</v>
      </c>
    </row>
    <row r="52" spans="1:6" x14ac:dyDescent="0.2">
      <c r="B52" s="24" t="s">
        <v>101</v>
      </c>
    </row>
    <row r="54" spans="1:6" x14ac:dyDescent="0.2">
      <c r="A54" s="16" t="s">
        <v>97</v>
      </c>
      <c r="B54" s="23" t="e">
        <f>SUM(F42)</f>
        <v>#DIV/0!</v>
      </c>
      <c r="C54" s="16" t="s">
        <v>102</v>
      </c>
      <c r="D54" s="16"/>
      <c r="E54" s="16"/>
      <c r="F54" s="22" t="e">
        <f>SUM(F28)</f>
        <v>#DIV/0!</v>
      </c>
    </row>
    <row r="55" spans="1:6" x14ac:dyDescent="0.2">
      <c r="A55" s="16"/>
      <c r="B55" s="17" t="s">
        <v>99</v>
      </c>
      <c r="C55" s="16"/>
      <c r="D55" s="16"/>
      <c r="E55" s="16"/>
      <c r="F55" s="17" t="s">
        <v>100</v>
      </c>
    </row>
    <row r="56" spans="1:6" x14ac:dyDescent="0.2">
      <c r="A56" s="16" t="s">
        <v>103</v>
      </c>
      <c r="B56" s="16"/>
      <c r="C56" s="16"/>
      <c r="D56" s="16"/>
      <c r="E56" s="16"/>
      <c r="F56" s="16"/>
    </row>
    <row r="57" spans="1:6" x14ac:dyDescent="0.2">
      <c r="A57" s="16"/>
      <c r="B57" s="21">
        <f>SUM(D42)</f>
        <v>0</v>
      </c>
      <c r="C57" s="17" t="s">
        <v>104</v>
      </c>
      <c r="D57" s="31" t="e">
        <f>SUM(F48+1)</f>
        <v>#DIV/0!</v>
      </c>
      <c r="E57" s="19" t="s">
        <v>52</v>
      </c>
      <c r="F57" s="48" t="e">
        <f>SUM(B57*D57)</f>
        <v>#DIV/0!</v>
      </c>
    </row>
    <row r="58" spans="1:6" x14ac:dyDescent="0.2">
      <c r="A58" s="16"/>
      <c r="B58" s="17" t="s">
        <v>90</v>
      </c>
      <c r="C58" s="16"/>
      <c r="D58" s="17" t="s">
        <v>105</v>
      </c>
      <c r="E58" s="16"/>
      <c r="F58" s="16" t="str">
        <f>'Per-Manual'!F58</f>
        <v>J (2025 Revenue $ Max PP)</v>
      </c>
    </row>
    <row r="60" spans="1:6" x14ac:dyDescent="0.2">
      <c r="B60" s="53" t="e">
        <f>SUM(F57)</f>
        <v>#DIV/0!</v>
      </c>
      <c r="C60" s="15" t="s">
        <v>82</v>
      </c>
      <c r="D60" s="14">
        <f>SUM(F15)</f>
        <v>0</v>
      </c>
      <c r="E60" s="1" t="s">
        <v>106</v>
      </c>
      <c r="F60" s="13" t="e">
        <f>SUM((B60)/D60*100)</f>
        <v>#DIV/0!</v>
      </c>
    </row>
    <row r="61" spans="1:6" x14ac:dyDescent="0.2">
      <c r="B61" s="12" t="s">
        <v>107</v>
      </c>
      <c r="D61" s="12">
        <v>7</v>
      </c>
      <c r="F61" s="11" t="str">
        <f>'Per-Manual'!F61</f>
        <v>Maximum 2025 PP Rate</v>
      </c>
    </row>
    <row r="62" spans="1:6" x14ac:dyDescent="0.2">
      <c r="A62" s="2" t="s">
        <v>108</v>
      </c>
    </row>
  </sheetData>
  <sheetProtection algorithmName="SHA-512" hashValue="dJeNoFf5Tyc9FHvnBe2M4YaYROvv5q6RaNMU2nSlbW8b7eE1seDDKHMwiq6yKmh0rDD2cj3fIMr+PGOZMn4rAg==" saltValue="yBSpZFBo280q4wIFbOIOZw==" spinCount="100000" sheet="1" selectLockedCells="1"/>
  <mergeCells count="7">
    <mergeCell ref="A1:G1"/>
    <mergeCell ref="A6:G6"/>
    <mergeCell ref="A7:G7"/>
    <mergeCell ref="A2:G2"/>
    <mergeCell ref="A3:G3"/>
    <mergeCell ref="A4:G4"/>
    <mergeCell ref="A5:G5"/>
  </mergeCells>
  <printOptions horizontalCentered="1"/>
  <pageMargins left="0.25" right="0" top="0.75" bottom="0" header="0.3" footer="0"/>
  <pageSetup scale="63" orientation="portrait" r:id="rId1"/>
  <headerFooter alignWithMargins="0">
    <oddHeader>&amp;R&amp;9LF 2009EV - Rev. 08/02/2024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753da74-c125-4a79-aa64-623e5a9973a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2C22ADA66D0847B83A2AD76313A667" ma:contentTypeVersion="16" ma:contentTypeDescription="Create a new document." ma:contentTypeScope="" ma:versionID="359d87b08481d6b4f2903882cde3a53e">
  <xsd:schema xmlns:xsd="http://www.w3.org/2001/XMLSchema" xmlns:xs="http://www.w3.org/2001/XMLSchema" xmlns:p="http://schemas.microsoft.com/office/2006/metadata/properties" xmlns:ns3="bc222868-a532-400b-86dd-b3daa0680701" xmlns:ns4="c753da74-c125-4a79-aa64-623e5a9973ad" targetNamespace="http://schemas.microsoft.com/office/2006/metadata/properties" ma:root="true" ma:fieldsID="65e0a2428977ad21a22b35fc3b5c8daf" ns3:_="" ns4:_="">
    <xsd:import namespace="bc222868-a532-400b-86dd-b3daa0680701"/>
    <xsd:import namespace="c753da74-c125-4a79-aa64-623e5a9973a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22868-a532-400b-86dd-b3daa06807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53da74-c125-4a79-aa64-623e5a9973a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92E94D-A3A6-4DA4-BDFB-F3D7EE390ED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c222868-a532-400b-86dd-b3daa0680701"/>
    <ds:schemaRef ds:uri="c753da74-c125-4a79-aa64-623e5a9973ad"/>
    <ds:schemaRef ds:uri="http://www.w3.org/XML/1998/namespace"/>
    <ds:schemaRef ds:uri="http://purl.org/dc/dcmitype/"/>
  </ds:schemaRefs>
</ds:datastoreItem>
</file>

<file path=customXml/itemProps2.xml><?xml version="1.0" encoding="utf-8"?>
<ds:datastoreItem xmlns:ds="http://schemas.openxmlformats.org/officeDocument/2006/customXml" ds:itemID="{5C485C6F-C777-46E8-85ED-4A4E1D29D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22868-a532-400b-86dd-b3daa0680701"/>
    <ds:schemaRef ds:uri="c753da74-c125-4a79-aa64-623e5a9973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5BECA6-7B72-4AF9-963F-E017212AE8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DATA</vt:lpstr>
      <vt:lpstr>DATA2</vt:lpstr>
      <vt:lpstr>Letter</vt:lpstr>
      <vt:lpstr>REAL</vt:lpstr>
      <vt:lpstr>Per-Manual</vt:lpstr>
      <vt:lpstr>PP Sub</vt:lpstr>
      <vt:lpstr>PP Compensating</vt:lpstr>
      <vt:lpstr>PP 4%</vt:lpstr>
      <vt:lpstr>Letter!_MailAutoSig</vt:lpstr>
      <vt:lpstr>'Per-Manual'!Print_Area</vt:lpstr>
      <vt:lpstr>'PP 4%'!Print_Area</vt:lpstr>
      <vt:lpstr>'PP Compensating'!Print_Area</vt:lpstr>
      <vt:lpstr>'PP Sub'!Print_Area</vt:lpstr>
      <vt:lpstr>REAL!Print_Area</vt:lpstr>
      <vt:lpstr>'PP 4%'!Print_Titles</vt:lpstr>
      <vt:lpstr>'PP Compensating'!Print_Titles</vt:lpstr>
      <vt:lpstr>'PP Sub'!Print_Titles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DLG TVernon</dc:creator>
  <cp:keywords/>
  <dc:description/>
  <cp:lastModifiedBy>Morton, Rebecca D (DLG)</cp:lastModifiedBy>
  <cp:revision/>
  <cp:lastPrinted>2024-08-02T14:05:33Z</cp:lastPrinted>
  <dcterms:created xsi:type="dcterms:W3CDTF">2021-06-28T17:36:58Z</dcterms:created>
  <dcterms:modified xsi:type="dcterms:W3CDTF">2025-05-23T16:53:43Z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0x010100C82C22ADA66D0847B83A2AD76313A667</vt:lpwstr>
  </property>
</Properties>
</file>